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5445" windowWidth="15600" windowHeight="6915" tabRatio="855" activeTab="1"/>
  </bookViews>
  <sheets>
    <sheet name="2014-15" sheetId="1" r:id="rId1"/>
    <sheet name="2015-16" sheetId="2" r:id="rId2"/>
    <sheet name="2016-17" sheetId="3" r:id="rId3"/>
    <sheet name="2017-18" sheetId="4" r:id="rId4"/>
  </sheets>
  <definedNames>
    <definedName name="_xlnm._FilterDatabase" localSheetId="0" hidden="1">'2014-15'!$A$4:$O$103</definedName>
    <definedName name="_xlnm._FilterDatabase" localSheetId="1" hidden="1">'2015-16'!$A$4:$M$104</definedName>
    <definedName name="_xlnm._FilterDatabase" localSheetId="2" hidden="1">'2016-17'!$A$4:$M$104</definedName>
    <definedName name="_xlnm._FilterDatabase" localSheetId="3" hidden="1">'2017-18'!$A$4:$M$104</definedName>
    <definedName name="_xlnm.Print_Area" localSheetId="0">'2014-15'!$A$1:$O$104</definedName>
    <definedName name="_xlnm.Print_Area" localSheetId="1">'2015-16'!$A$1:$M$103</definedName>
    <definedName name="_xlnm.Print_Area" localSheetId="2">'2016-17'!$A$1:$M$103</definedName>
    <definedName name="_xlnm.Print_Area" localSheetId="3">'2017-18'!$A$1:$M$103</definedName>
    <definedName name="_xlnm.Print_Titles" localSheetId="0">'2014-15'!$1:$4</definedName>
    <definedName name="_xlnm.Print_Titles" localSheetId="1">'2015-16'!$1:$4</definedName>
    <definedName name="_xlnm.Print_Titles" localSheetId="2">'2016-17'!$1:$4</definedName>
    <definedName name="_xlnm.Print_Titles" localSheetId="3">'2017-18'!$1:$4</definedName>
  </definedNames>
  <calcPr fullCalcOnLoad="1"/>
</workbook>
</file>

<file path=xl/sharedStrings.xml><?xml version="1.0" encoding="utf-8"?>
<sst xmlns="http://schemas.openxmlformats.org/spreadsheetml/2006/main" count="488" uniqueCount="117">
  <si>
    <t>Transformation Projects</t>
  </si>
  <si>
    <t>Committees</t>
  </si>
  <si>
    <t>Election Services</t>
  </si>
  <si>
    <t>Below the line</t>
  </si>
  <si>
    <t>Contingencies</t>
  </si>
  <si>
    <t>General Fund Working Balances</t>
  </si>
  <si>
    <t>Transfer to / (from) General Fund Working Balances</t>
  </si>
  <si>
    <t>Net Budget Requirement</t>
  </si>
  <si>
    <t>Financed by</t>
  </si>
  <si>
    <t>Over / (Under) Allocated budget</t>
  </si>
  <si>
    <t>Corporate Accounts</t>
  </si>
  <si>
    <t>MTFP assumptions</t>
  </si>
  <si>
    <t>Establishment Realignment</t>
  </si>
  <si>
    <t>Total Expenditure Budget</t>
  </si>
  <si>
    <t>Communications</t>
  </si>
  <si>
    <t>Policy &amp; Partnerships</t>
  </si>
  <si>
    <t>Communities &amp; Neighbourhoods</t>
  </si>
  <si>
    <t>Community Housing Strategy</t>
  </si>
  <si>
    <t>Housing Needs</t>
  </si>
  <si>
    <t>Revenues</t>
  </si>
  <si>
    <t>Off Street Parking</t>
  </si>
  <si>
    <t>Waste &amp; Recycling Domestic</t>
  </si>
  <si>
    <t>Street Scenes</t>
  </si>
  <si>
    <t>Garages</t>
  </si>
  <si>
    <t>Local Overheads</t>
  </si>
  <si>
    <t>Direct Building Services Stores</t>
  </si>
  <si>
    <t>Pressures</t>
  </si>
  <si>
    <t>Efficiency Savings</t>
  </si>
  <si>
    <t>Invest to Save</t>
  </si>
  <si>
    <t>Fees &amp; Charges</t>
  </si>
  <si>
    <t>Service Reductions</t>
  </si>
  <si>
    <t>Finance</t>
  </si>
  <si>
    <t>Corporate Finance</t>
  </si>
  <si>
    <t>Accountancy</t>
  </si>
  <si>
    <t>Contractual Inflation</t>
  </si>
  <si>
    <t>Internal Audit</t>
  </si>
  <si>
    <t>Investigations</t>
  </si>
  <si>
    <t>Learning &amp; Development</t>
  </si>
  <si>
    <t>Payroll</t>
  </si>
  <si>
    <t>Customer Services</t>
  </si>
  <si>
    <t>Law &amp; Governance</t>
  </si>
  <si>
    <t>City Regeneration</t>
  </si>
  <si>
    <t>City Development</t>
  </si>
  <si>
    <t>Cultural Development</t>
  </si>
  <si>
    <t>Development</t>
  </si>
  <si>
    <t>Information Services</t>
  </si>
  <si>
    <t>Environmental Development</t>
  </si>
  <si>
    <t>Environmental Sustainability</t>
  </si>
  <si>
    <t>Legal Services</t>
  </si>
  <si>
    <t>Member Services</t>
  </si>
  <si>
    <t>Scrutiny</t>
  </si>
  <si>
    <t>Executive Support</t>
  </si>
  <si>
    <t>Culture</t>
  </si>
  <si>
    <t>Housing Benefit</t>
  </si>
  <si>
    <t>£000's</t>
  </si>
  <si>
    <t>Leisure Management</t>
  </si>
  <si>
    <t>Sports Development</t>
  </si>
  <si>
    <t>Allotments</t>
  </si>
  <si>
    <t>Burial Services</t>
  </si>
  <si>
    <t>Countryside</t>
  </si>
  <si>
    <t>Parks</t>
  </si>
  <si>
    <t>Spatial Development</t>
  </si>
  <si>
    <t>Commercial Property</t>
  </si>
  <si>
    <t>Office Accomadation</t>
  </si>
  <si>
    <t>Property Maintainence</t>
  </si>
  <si>
    <t>Motor Transport</t>
  </si>
  <si>
    <t>Engineering</t>
  </si>
  <si>
    <t>Performance</t>
  </si>
  <si>
    <t>Support Services</t>
  </si>
  <si>
    <t>% Change</t>
  </si>
  <si>
    <t>Policy, Culture and Comms</t>
  </si>
  <si>
    <t>Total Portfolio Budget</t>
  </si>
  <si>
    <t>Oxford Sports Partnership</t>
  </si>
  <si>
    <t>Direct Services</t>
  </si>
  <si>
    <t>New Investment</t>
  </si>
  <si>
    <t>Organisational Development &amp; Corporate Services</t>
  </si>
  <si>
    <t>Business Improvement &amp; Technology</t>
  </si>
  <si>
    <t>Technology</t>
  </si>
  <si>
    <t>Customer First Programme</t>
  </si>
  <si>
    <t>Customer Contact</t>
  </si>
  <si>
    <t>Replacement Academy Server</t>
  </si>
  <si>
    <t>Human Resources</t>
  </si>
  <si>
    <t>Health &amp; Safety</t>
  </si>
  <si>
    <t>Facilities Management</t>
  </si>
  <si>
    <t>Human Resources &amp; Facilities</t>
  </si>
  <si>
    <t>Community Services</t>
  </si>
  <si>
    <t>Building Planned Operations</t>
  </si>
  <si>
    <t>Building - Responsive Operations</t>
  </si>
  <si>
    <t>Waste &amp; Recycling Commercial</t>
  </si>
  <si>
    <t>Caretaking &amp; Miscellaneous</t>
  </si>
  <si>
    <t>Parks Management &amp; Administration</t>
  </si>
  <si>
    <t>Proposed Budget 2015/16</t>
  </si>
  <si>
    <t>Proposed Budget 2016/17</t>
  </si>
  <si>
    <t>Proposed Budget 2017/18</t>
  </si>
  <si>
    <t>Contracts &amp; Procurement</t>
  </si>
  <si>
    <t>Business Improvement &amp; Performance</t>
  </si>
  <si>
    <t>Environmental Health</t>
  </si>
  <si>
    <t>Environmental Protection</t>
  </si>
  <si>
    <t>ED Management</t>
  </si>
  <si>
    <t>Positive Futures</t>
  </si>
  <si>
    <t>Approved Budget 2013/14</t>
  </si>
  <si>
    <t>Structural Changes in 2013/14</t>
  </si>
  <si>
    <t>Regeneration &amp; Major Projects Team</t>
  </si>
  <si>
    <t xml:space="preserve">Housing &amp; Property </t>
  </si>
  <si>
    <t>Leisure, Parks &amp; Communities</t>
  </si>
  <si>
    <t>Business Development</t>
  </si>
  <si>
    <t>Property Services</t>
  </si>
  <si>
    <t>Recommended Budget 2014/15</t>
  </si>
  <si>
    <t>Revenue Support Grant</t>
  </si>
  <si>
    <t>Business Rates retention</t>
  </si>
  <si>
    <t>Council tax</t>
  </si>
  <si>
    <t>Less Parish Precept</t>
  </si>
  <si>
    <t>Collection Fund Surplus</t>
  </si>
  <si>
    <t>Oxford City Council’s Revenue Budget at Portfolio Level 2014-15             Appendix 2</t>
  </si>
  <si>
    <t>Oxford City Council’s Revenue Budget at Portfolio Level 2015-16      Appendix 2</t>
  </si>
  <si>
    <t>Oxford City Council’s Revenue Budget at Portfolio Level 2016-17       Appendix 2</t>
  </si>
  <si>
    <t>Oxford City Council’s Revenue Budget at Portfolio Level 2017-18       Appendix 2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</si>
</sst>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;[Red]\ \(#,##0\)"/>
    <numFmt numFmtId="165" formatCode="&quot;£&quot;#,##0;\-&quot;£&quot;\(#,##0\)"/>
    <numFmt numFmtId="166" formatCode="&quot;£&quot;#,##0;[Red]\ &quot;£&quot;\(#,##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;[Red]\ \(#,##0\)"/>
    <numFmt numFmtId="172" formatCode="0.000000"/>
    <numFmt numFmtId="173" formatCode="0%;[Red]\-0%"/>
    <numFmt numFmtId="174" formatCode="_-* #,##0.0_-;\-* #,##0.0_-;_-* &quot;-&quot;??_-;_-@_-"/>
    <numFmt numFmtId="175" formatCode="_-* #,##0_-;\-* #,##0_-;_-* &quot;-&quot;??_-;_-@_-"/>
    <numFmt numFmtId="176" formatCode="_-* #,##0_-;[Red]\-* #,##0_-;_-* &quot;-&quot;??_-;_-@_-"/>
    <numFmt numFmtId="177" formatCode="#,##0;[Red]\ \(#,##0.00\)"/>
    <numFmt numFmtId="178" formatCode="#,##0;\ \(#,##0.00\)"/>
    <numFmt numFmtId="179" formatCode="#,##0.00;[Red]\ \(#,##0.00\)"/>
    <numFmt numFmtId="180" formatCode="#,##0.0;[Red]\ \(#,##0.0\)"/>
    <numFmt numFmtId="181" formatCode="#,##0.000;[Red]\ \(#,##0.000\)"/>
    <numFmt numFmtId="182" formatCode="#,##0;[Red]\(#,##0\)"/>
    <numFmt numFmtId="183" formatCode="0%;[Red]\(0%\)"/>
    <numFmt numFmtId="184" formatCode="#,##0.000;[Red]\(#,##0.000\)"/>
    <numFmt numFmtId="185" formatCode="#,##0.0;[Red]#,##0.0"/>
    <numFmt numFmtId="186" formatCode="#,##0.000;[Red]#,##0.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right" vertical="top" wrapText="1"/>
    </xf>
    <xf numFmtId="0" fontId="0" fillId="0" borderId="11" xfId="0" applyFont="1" applyBorder="1" applyAlignment="1">
      <alignment horizontal="right" vertical="top" wrapText="1"/>
    </xf>
    <xf numFmtId="0" fontId="0" fillId="0" borderId="11" xfId="0" applyFont="1" applyBorder="1" applyAlignment="1">
      <alignment horizontal="right" vertical="top"/>
    </xf>
    <xf numFmtId="0" fontId="1" fillId="0" borderId="11" xfId="0" applyFont="1" applyBorder="1" applyAlignment="1">
      <alignment horizontal="right" vertical="top" wrapText="1"/>
    </xf>
    <xf numFmtId="0" fontId="0" fillId="0" borderId="11" xfId="0" applyBorder="1" applyAlignment="1">
      <alignment horizontal="right" vertical="top"/>
    </xf>
    <xf numFmtId="0" fontId="1" fillId="0" borderId="11" xfId="0" applyFont="1" applyBorder="1" applyAlignment="1">
      <alignment horizontal="right" vertical="top"/>
    </xf>
    <xf numFmtId="0" fontId="1" fillId="0" borderId="12" xfId="0" applyFont="1" applyBorder="1" applyAlignment="1">
      <alignment horizontal="right" vertical="top" wrapText="1"/>
    </xf>
    <xf numFmtId="171" fontId="1" fillId="33" borderId="13" xfId="0" applyNumberFormat="1" applyFont="1" applyFill="1" applyBorder="1" applyAlignment="1">
      <alignment vertical="top" wrapText="1"/>
    </xf>
    <xf numFmtId="171" fontId="1" fillId="0" borderId="13" xfId="0" applyNumberFormat="1" applyFont="1" applyFill="1" applyBorder="1" applyAlignment="1">
      <alignment vertical="top" wrapText="1"/>
    </xf>
    <xf numFmtId="171" fontId="1" fillId="0" borderId="13" xfId="0" applyNumberFormat="1" applyFont="1" applyBorder="1" applyAlignment="1">
      <alignment vertical="top" wrapText="1"/>
    </xf>
    <xf numFmtId="171" fontId="0" fillId="33" borderId="13" xfId="0" applyNumberFormat="1" applyFill="1" applyBorder="1" applyAlignment="1">
      <alignment vertical="top" wrapText="1"/>
    </xf>
    <xf numFmtId="171" fontId="0" fillId="0" borderId="13" xfId="0" applyNumberFormat="1" applyBorder="1" applyAlignment="1">
      <alignment vertical="top" wrapText="1"/>
    </xf>
    <xf numFmtId="171" fontId="0" fillId="33" borderId="13" xfId="0" applyNumberFormat="1" applyFont="1" applyFill="1" applyBorder="1" applyAlignment="1">
      <alignment vertical="top" wrapText="1"/>
    </xf>
    <xf numFmtId="171" fontId="0" fillId="0" borderId="13" xfId="0" applyNumberFormat="1" applyFont="1" applyFill="1" applyBorder="1" applyAlignment="1">
      <alignment vertical="top" wrapText="1"/>
    </xf>
    <xf numFmtId="171" fontId="0" fillId="33" borderId="13" xfId="0" applyNumberFormat="1" applyFill="1" applyBorder="1" applyAlignment="1">
      <alignment vertical="top"/>
    </xf>
    <xf numFmtId="171" fontId="0" fillId="0" borderId="13" xfId="0" applyNumberFormat="1" applyBorder="1" applyAlignment="1">
      <alignment vertical="top"/>
    </xf>
    <xf numFmtId="0" fontId="1" fillId="0" borderId="14" xfId="0" applyFont="1" applyBorder="1" applyAlignment="1">
      <alignment horizontal="right" vertical="top" wrapText="1"/>
    </xf>
    <xf numFmtId="171" fontId="1" fillId="0" borderId="11" xfId="0" applyNumberFormat="1" applyFont="1" applyFill="1" applyBorder="1" applyAlignment="1">
      <alignment vertical="top" wrapText="1"/>
    </xf>
    <xf numFmtId="0" fontId="0" fillId="0" borderId="11" xfId="0" applyFont="1" applyBorder="1" applyAlignment="1">
      <alignment horizontal="right"/>
    </xf>
    <xf numFmtId="0" fontId="0" fillId="0" borderId="11" xfId="0" applyBorder="1" applyAlignment="1">
      <alignment horizontal="right"/>
    </xf>
    <xf numFmtId="171" fontId="0" fillId="0" borderId="13" xfId="0" applyNumberFormat="1" applyFill="1" applyBorder="1" applyAlignment="1">
      <alignment vertical="top"/>
    </xf>
    <xf numFmtId="171" fontId="0" fillId="0" borderId="13" xfId="0" applyNumberFormat="1" applyFill="1" applyBorder="1" applyAlignment="1">
      <alignment vertical="top" wrapText="1"/>
    </xf>
    <xf numFmtId="171" fontId="0" fillId="34" borderId="0" xfId="0" applyNumberFormat="1" applyFont="1" applyFill="1" applyBorder="1" applyAlignment="1">
      <alignment vertical="top" wrapText="1"/>
    </xf>
    <xf numFmtId="171" fontId="6" fillId="33" borderId="13" xfId="0" applyNumberFormat="1" applyFont="1" applyFill="1" applyBorder="1" applyAlignment="1">
      <alignment vertical="top" wrapText="1"/>
    </xf>
    <xf numFmtId="171" fontId="6" fillId="0" borderId="13" xfId="0" applyNumberFormat="1" applyFont="1" applyFill="1" applyBorder="1" applyAlignment="1">
      <alignment vertical="top" wrapText="1"/>
    </xf>
    <xf numFmtId="183" fontId="0" fillId="0" borderId="0" xfId="0" applyNumberFormat="1" applyFill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0" fillId="0" borderId="0" xfId="0" applyBorder="1" applyAlignment="1">
      <alignment vertical="top"/>
    </xf>
    <xf numFmtId="171" fontId="6" fillId="0" borderId="0" xfId="0" applyNumberFormat="1" applyFont="1" applyFill="1" applyBorder="1" applyAlignment="1">
      <alignment vertical="top" wrapText="1"/>
    </xf>
    <xf numFmtId="0" fontId="7" fillId="0" borderId="0" xfId="0" applyFont="1" applyBorder="1" applyAlignment="1">
      <alignment vertical="top"/>
    </xf>
    <xf numFmtId="171" fontId="1" fillId="33" borderId="0" xfId="0" applyNumberFormat="1" applyFont="1" applyFill="1" applyBorder="1" applyAlignment="1">
      <alignment vertical="top" wrapText="1"/>
    </xf>
    <xf numFmtId="171" fontId="1" fillId="0" borderId="0" xfId="0" applyNumberFormat="1" applyFont="1" applyFill="1" applyBorder="1" applyAlignment="1">
      <alignment vertical="top" wrapText="1"/>
    </xf>
    <xf numFmtId="171" fontId="1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horizontal="right" vertical="top" wrapText="1"/>
    </xf>
    <xf numFmtId="171" fontId="0" fillId="0" borderId="0" xfId="0" applyNumberFormat="1" applyBorder="1" applyAlignment="1">
      <alignment vertical="top" wrapText="1"/>
    </xf>
    <xf numFmtId="183" fontId="0" fillId="0" borderId="0" xfId="59" applyNumberFormat="1" applyFont="1" applyFill="1" applyBorder="1" applyAlignment="1">
      <alignment horizontal="center" vertical="top"/>
    </xf>
    <xf numFmtId="171" fontId="0" fillId="33" borderId="0" xfId="0" applyNumberFormat="1" applyFont="1" applyFill="1" applyBorder="1" applyAlignment="1">
      <alignment vertical="top" wrapText="1"/>
    </xf>
    <xf numFmtId="171" fontId="0" fillId="0" borderId="0" xfId="0" applyNumberFormat="1" applyFont="1" applyFill="1" applyBorder="1" applyAlignment="1">
      <alignment vertical="top" wrapText="1"/>
    </xf>
    <xf numFmtId="0" fontId="0" fillId="0" borderId="0" xfId="0" applyBorder="1" applyAlignment="1">
      <alignment horizontal="right" vertical="top"/>
    </xf>
    <xf numFmtId="171" fontId="0" fillId="0" borderId="0" xfId="0" applyNumberFormat="1" applyBorder="1" applyAlignment="1">
      <alignment vertical="top"/>
    </xf>
    <xf numFmtId="171" fontId="0" fillId="0" borderId="0" xfId="0" applyNumberFormat="1" applyFill="1" applyBorder="1" applyAlignment="1">
      <alignment vertical="top"/>
    </xf>
    <xf numFmtId="171" fontId="0" fillId="0" borderId="0" xfId="0" applyNumberFormat="1" applyFill="1" applyBorder="1" applyAlignment="1">
      <alignment vertical="top" wrapText="1"/>
    </xf>
    <xf numFmtId="0" fontId="0" fillId="34" borderId="0" xfId="0" applyFill="1" applyBorder="1" applyAlignment="1">
      <alignment horizontal="right" vertical="top" wrapText="1"/>
    </xf>
    <xf numFmtId="0" fontId="0" fillId="34" borderId="0" xfId="0" applyFill="1" applyBorder="1" applyAlignment="1">
      <alignment vertical="top" wrapText="1"/>
    </xf>
    <xf numFmtId="183" fontId="0" fillId="0" borderId="0" xfId="0" applyNumberFormat="1" applyFont="1" applyFill="1" applyBorder="1" applyAlignment="1">
      <alignment vertical="top" wrapText="1"/>
    </xf>
    <xf numFmtId="171" fontId="1" fillId="34" borderId="0" xfId="0" applyNumberFormat="1" applyFont="1" applyFill="1" applyBorder="1" applyAlignment="1">
      <alignment vertical="top" wrapText="1"/>
    </xf>
    <xf numFmtId="183" fontId="1" fillId="0" borderId="0" xfId="0" applyNumberFormat="1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183" fontId="1" fillId="0" borderId="16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right" vertical="top"/>
    </xf>
    <xf numFmtId="183" fontId="6" fillId="0" borderId="17" xfId="59" applyNumberFormat="1" applyFont="1" applyFill="1" applyBorder="1" applyAlignment="1">
      <alignment horizontal="center" vertical="top"/>
    </xf>
    <xf numFmtId="183" fontId="0" fillId="0" borderId="17" xfId="0" applyNumberFormat="1" applyFill="1" applyBorder="1" applyAlignment="1">
      <alignment horizontal="center" vertical="top"/>
    </xf>
    <xf numFmtId="183" fontId="1" fillId="0" borderId="17" xfId="59" applyNumberFormat="1" applyFont="1" applyFill="1" applyBorder="1" applyAlignment="1">
      <alignment horizontal="center" vertical="top"/>
    </xf>
    <xf numFmtId="183" fontId="0" fillId="0" borderId="17" xfId="59" applyNumberFormat="1" applyFont="1" applyFill="1" applyBorder="1" applyAlignment="1">
      <alignment horizontal="center" vertical="top"/>
    </xf>
    <xf numFmtId="0" fontId="6" fillId="0" borderId="11" xfId="0" applyFont="1" applyBorder="1" applyAlignment="1">
      <alignment horizontal="right" vertical="top" wrapText="1"/>
    </xf>
    <xf numFmtId="183" fontId="0" fillId="0" borderId="17" xfId="59" applyNumberFormat="1" applyFont="1" applyFill="1" applyBorder="1" applyAlignment="1">
      <alignment horizontal="center" vertical="top"/>
    </xf>
    <xf numFmtId="0" fontId="6" fillId="0" borderId="12" xfId="0" applyFont="1" applyBorder="1" applyAlignment="1">
      <alignment horizontal="right" vertical="top" wrapText="1"/>
    </xf>
    <xf numFmtId="171" fontId="6" fillId="0" borderId="18" xfId="0" applyNumberFormat="1" applyFont="1" applyFill="1" applyBorder="1" applyAlignment="1">
      <alignment vertical="top" wrapText="1"/>
    </xf>
    <xf numFmtId="183" fontId="6" fillId="0" borderId="19" xfId="59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171" fontId="6" fillId="0" borderId="20" xfId="0" applyNumberFormat="1" applyFont="1" applyFill="1" applyBorder="1" applyAlignment="1">
      <alignment vertical="top" wrapText="1"/>
    </xf>
    <xf numFmtId="171" fontId="6" fillId="33" borderId="20" xfId="0" applyNumberFormat="1" applyFont="1" applyFill="1" applyBorder="1" applyAlignment="1">
      <alignment vertical="top" wrapText="1"/>
    </xf>
    <xf numFmtId="6" fontId="1" fillId="33" borderId="20" xfId="0" applyNumberFormat="1" applyFont="1" applyFill="1" applyBorder="1" applyAlignment="1">
      <alignment horizontal="right" vertical="top" wrapText="1"/>
    </xf>
    <xf numFmtId="0" fontId="1" fillId="0" borderId="18" xfId="0" applyFont="1" applyBorder="1" applyAlignment="1">
      <alignment horizontal="right" vertical="top" wrapText="1"/>
    </xf>
    <xf numFmtId="0" fontId="1" fillId="0" borderId="20" xfId="0" applyFont="1" applyBorder="1" applyAlignment="1">
      <alignment horizontal="right" vertical="top" wrapText="1"/>
    </xf>
    <xf numFmtId="0" fontId="0" fillId="0" borderId="0" xfId="0" applyBorder="1" applyAlignment="1">
      <alignment vertical="top" wrapText="1"/>
    </xf>
    <xf numFmtId="183" fontId="1" fillId="0" borderId="19" xfId="0" applyNumberFormat="1" applyFont="1" applyFill="1" applyBorder="1" applyAlignment="1">
      <alignment horizontal="center" vertical="top" wrapText="1"/>
    </xf>
    <xf numFmtId="0" fontId="1" fillId="33" borderId="20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171" fontId="6" fillId="33" borderId="0" xfId="0" applyNumberFormat="1" applyFont="1" applyFill="1" applyBorder="1" applyAlignment="1">
      <alignment vertical="top" wrapText="1"/>
    </xf>
    <xf numFmtId="171" fontId="0" fillId="33" borderId="0" xfId="0" applyNumberFormat="1" applyFill="1" applyBorder="1" applyAlignment="1">
      <alignment vertical="top" wrapText="1"/>
    </xf>
    <xf numFmtId="171" fontId="0" fillId="33" borderId="0" xfId="0" applyNumberFormat="1" applyFill="1" applyBorder="1" applyAlignment="1">
      <alignment vertical="top"/>
    </xf>
    <xf numFmtId="0" fontId="6" fillId="34" borderId="0" xfId="0" applyFont="1" applyFill="1" applyBorder="1" applyAlignment="1">
      <alignment horizontal="right" vertical="top" wrapText="1"/>
    </xf>
    <xf numFmtId="0" fontId="0" fillId="34" borderId="0" xfId="0" applyFont="1" applyFill="1" applyBorder="1" applyAlignment="1">
      <alignment horizontal="right" vertical="top" wrapText="1"/>
    </xf>
    <xf numFmtId="171" fontId="0" fillId="34" borderId="0" xfId="0" applyNumberFormat="1" applyFill="1" applyBorder="1" applyAlignment="1">
      <alignment vertical="top" wrapText="1"/>
    </xf>
    <xf numFmtId="0" fontId="7" fillId="34" borderId="0" xfId="0" applyFont="1" applyFill="1" applyBorder="1" applyAlignment="1">
      <alignment horizontal="right" vertical="top"/>
    </xf>
    <xf numFmtId="0" fontId="1" fillId="34" borderId="0" xfId="0" applyFont="1" applyFill="1" applyBorder="1" applyAlignment="1">
      <alignment horizontal="right" vertical="top" wrapText="1"/>
    </xf>
    <xf numFmtId="0" fontId="0" fillId="34" borderId="0" xfId="0" applyFill="1" applyBorder="1" applyAlignment="1">
      <alignment horizontal="right" vertical="top"/>
    </xf>
    <xf numFmtId="0" fontId="1" fillId="33" borderId="15" xfId="0" applyFont="1" applyFill="1" applyBorder="1" applyAlignment="1">
      <alignment horizontal="center" vertical="top" wrapText="1"/>
    </xf>
    <xf numFmtId="183" fontId="1" fillId="0" borderId="17" xfId="0" applyNumberFormat="1" applyFont="1" applyFill="1" applyBorder="1" applyAlignment="1">
      <alignment horizontal="center" vertical="top" wrapText="1"/>
    </xf>
    <xf numFmtId="171" fontId="6" fillId="33" borderId="18" xfId="0" applyNumberFormat="1" applyFont="1" applyFill="1" applyBorder="1" applyAlignment="1">
      <alignment vertical="top" wrapText="1"/>
    </xf>
    <xf numFmtId="183" fontId="1" fillId="0" borderId="10" xfId="0" applyNumberFormat="1" applyFont="1" applyFill="1" applyBorder="1" applyAlignment="1">
      <alignment horizontal="center" vertical="top" wrapText="1"/>
    </xf>
    <xf numFmtId="183" fontId="6" fillId="0" borderId="13" xfId="59" applyNumberFormat="1" applyFont="1" applyFill="1" applyBorder="1" applyAlignment="1">
      <alignment horizontal="center" vertical="top"/>
    </xf>
    <xf numFmtId="183" fontId="0" fillId="0" borderId="13" xfId="0" applyNumberFormat="1" applyFill="1" applyBorder="1" applyAlignment="1">
      <alignment horizontal="center" vertical="top"/>
    </xf>
    <xf numFmtId="183" fontId="1" fillId="0" borderId="13" xfId="59" applyNumberFormat="1" applyFont="1" applyFill="1" applyBorder="1" applyAlignment="1">
      <alignment horizontal="center" vertical="top"/>
    </xf>
    <xf numFmtId="183" fontId="0" fillId="0" borderId="13" xfId="59" applyNumberFormat="1" applyFont="1" applyFill="1" applyBorder="1" applyAlignment="1">
      <alignment horizontal="center" vertical="top"/>
    </xf>
    <xf numFmtId="183" fontId="0" fillId="0" borderId="13" xfId="59" applyNumberFormat="1" applyFont="1" applyFill="1" applyBorder="1" applyAlignment="1">
      <alignment horizontal="center" vertical="top"/>
    </xf>
    <xf numFmtId="183" fontId="6" fillId="0" borderId="20" xfId="59" applyNumberFormat="1" applyFont="1" applyFill="1" applyBorder="1" applyAlignment="1">
      <alignment horizontal="center" vertical="top"/>
    </xf>
    <xf numFmtId="0" fontId="1" fillId="0" borderId="13" xfId="0" applyFont="1" applyBorder="1" applyAlignment="1">
      <alignment horizontal="right" vertical="top" wrapText="1"/>
    </xf>
    <xf numFmtId="6" fontId="1" fillId="33" borderId="13" xfId="0" applyNumberFormat="1" applyFont="1" applyFill="1" applyBorder="1" applyAlignment="1">
      <alignment horizontal="right" vertical="top" wrapText="1"/>
    </xf>
    <xf numFmtId="6" fontId="1" fillId="33" borderId="18" xfId="0" applyNumberFormat="1" applyFont="1" applyFill="1" applyBorder="1" applyAlignment="1">
      <alignment horizontal="right" vertical="top" wrapText="1"/>
    </xf>
    <xf numFmtId="0" fontId="1" fillId="33" borderId="18" xfId="0" applyFont="1" applyFill="1" applyBorder="1" applyAlignment="1">
      <alignment horizontal="right" vertical="top" wrapText="1"/>
    </xf>
    <xf numFmtId="183" fontId="1" fillId="0" borderId="20" xfId="0" applyNumberFormat="1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center" vertical="top" wrapText="1"/>
    </xf>
    <xf numFmtId="6" fontId="1" fillId="0" borderId="20" xfId="0" applyNumberFormat="1" applyFont="1" applyFill="1" applyBorder="1" applyAlignment="1">
      <alignment horizontal="right" vertical="top" wrapText="1"/>
    </xf>
    <xf numFmtId="0" fontId="0" fillId="0" borderId="11" xfId="0" applyFont="1" applyBorder="1" applyAlignment="1">
      <alignment horizontal="right"/>
    </xf>
    <xf numFmtId="171" fontId="0" fillId="33" borderId="17" xfId="0" applyNumberFormat="1" applyFill="1" applyBorder="1" applyAlignment="1">
      <alignment vertical="top" wrapText="1"/>
    </xf>
    <xf numFmtId="171" fontId="0" fillId="33" borderId="17" xfId="0" applyNumberFormat="1" applyFont="1" applyFill="1" applyBorder="1" applyAlignment="1">
      <alignment vertical="top" wrapText="1"/>
    </xf>
    <xf numFmtId="171" fontId="0" fillId="33" borderId="11" xfId="0" applyNumberFormat="1" applyFont="1" applyFill="1" applyBorder="1" applyAlignment="1">
      <alignment vertical="top" wrapText="1"/>
    </xf>
    <xf numFmtId="171" fontId="0" fillId="0" borderId="11" xfId="0" applyNumberFormat="1" applyFont="1" applyFill="1" applyBorder="1" applyAlignment="1">
      <alignment vertical="top" wrapText="1"/>
    </xf>
    <xf numFmtId="171" fontId="0" fillId="33" borderId="11" xfId="0" applyNumberFormat="1" applyFill="1" applyBorder="1" applyAlignment="1">
      <alignment vertical="top" wrapText="1"/>
    </xf>
    <xf numFmtId="0" fontId="0" fillId="0" borderId="11" xfId="0" applyBorder="1" applyAlignment="1">
      <alignment vertical="top"/>
    </xf>
    <xf numFmtId="171" fontId="1" fillId="33" borderId="17" xfId="0" applyNumberFormat="1" applyFont="1" applyFill="1" applyBorder="1" applyAlignment="1">
      <alignment vertical="top" wrapText="1"/>
    </xf>
    <xf numFmtId="171" fontId="1" fillId="33" borderId="11" xfId="0" applyNumberFormat="1" applyFont="1" applyFill="1" applyBorder="1" applyAlignment="1">
      <alignment vertical="top" wrapText="1"/>
    </xf>
    <xf numFmtId="171" fontId="6" fillId="0" borderId="19" xfId="0" applyNumberFormat="1" applyFont="1" applyFill="1" applyBorder="1" applyAlignment="1">
      <alignment vertical="top" wrapText="1"/>
    </xf>
    <xf numFmtId="6" fontId="1" fillId="0" borderId="13" xfId="0" applyNumberFormat="1" applyFont="1" applyFill="1" applyBorder="1" applyAlignment="1">
      <alignment horizontal="right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right" vertical="top" wrapText="1"/>
    </xf>
    <xf numFmtId="171" fontId="0" fillId="35" borderId="0" xfId="0" applyNumberFormat="1" applyFont="1" applyFill="1" applyBorder="1" applyAlignment="1">
      <alignment vertical="top" wrapText="1"/>
    </xf>
    <xf numFmtId="0" fontId="5" fillId="0" borderId="0" xfId="0" applyFont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F7FFF7"/>
      <rgbColor rgb="00FFFF99"/>
      <rgbColor rgb="00EFF3FF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9"/>
  <sheetViews>
    <sheetView tabSelected="1" zoomScale="70" zoomScaleNormal="70" zoomScalePageLayoutView="0" workbookViewId="0" topLeftCell="A1">
      <pane xSplit="1" ySplit="4" topLeftCell="B5" activePane="bottomRight" state="frozen"/>
      <selection pane="topLeft" activeCell="M103" sqref="A3:M103"/>
      <selection pane="topRight" activeCell="M103" sqref="A3:M103"/>
      <selection pane="bottomLeft" activeCell="M103" sqref="A3:M103"/>
      <selection pane="bottomRight" activeCell="M103" sqref="A3:M103"/>
    </sheetView>
  </sheetViews>
  <sheetFormatPr defaultColWidth="9.140625" defaultRowHeight="12.75" outlineLevelRow="1"/>
  <cols>
    <col min="1" max="1" width="60.00390625" style="40" bestFit="1" customWidth="1"/>
    <col min="2" max="2" width="20.140625" style="29" bestFit="1" customWidth="1"/>
    <col min="3" max="3" width="24.57421875" style="29" bestFit="1" customWidth="1"/>
    <col min="4" max="4" width="20.140625" style="29" bestFit="1" customWidth="1"/>
    <col min="5" max="5" width="15.28125" style="29" customWidth="1"/>
    <col min="6" max="6" width="16.7109375" style="29" hidden="1" customWidth="1"/>
    <col min="7" max="7" width="14.7109375" style="29" customWidth="1"/>
    <col min="8" max="11" width="12.7109375" style="29" customWidth="1"/>
    <col min="12" max="13" width="14.140625" style="29" customWidth="1"/>
    <col min="14" max="14" width="17.421875" style="29" customWidth="1"/>
    <col min="15" max="15" width="11.7109375" style="27" customWidth="1"/>
    <col min="16" max="16" width="1.57421875" style="29" customWidth="1"/>
    <col min="17" max="16384" width="9.140625" style="29" customWidth="1"/>
  </cols>
  <sheetData>
    <row r="1" spans="1:15" ht="27.75">
      <c r="A1" s="113" t="s">
        <v>113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5" ht="15.7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36.75" customHeight="1">
      <c r="A3" s="18"/>
      <c r="B3" s="81" t="s">
        <v>100</v>
      </c>
      <c r="C3" s="49" t="s">
        <v>101</v>
      </c>
      <c r="D3" s="1" t="s">
        <v>100</v>
      </c>
      <c r="E3" s="49" t="s">
        <v>11</v>
      </c>
      <c r="F3" s="97" t="s">
        <v>12</v>
      </c>
      <c r="G3" s="62" t="s">
        <v>34</v>
      </c>
      <c r="H3" s="50" t="s">
        <v>26</v>
      </c>
      <c r="I3" s="62" t="s">
        <v>27</v>
      </c>
      <c r="J3" s="50" t="s">
        <v>28</v>
      </c>
      <c r="K3" s="62" t="s">
        <v>29</v>
      </c>
      <c r="L3" s="50" t="s">
        <v>30</v>
      </c>
      <c r="M3" s="62" t="s">
        <v>74</v>
      </c>
      <c r="N3" s="81" t="s">
        <v>107</v>
      </c>
      <c r="O3" s="84" t="s">
        <v>69</v>
      </c>
    </row>
    <row r="4" spans="1:15" ht="13.5" customHeight="1">
      <c r="A4" s="8"/>
      <c r="B4" s="93" t="s">
        <v>54</v>
      </c>
      <c r="C4" s="66" t="s">
        <v>54</v>
      </c>
      <c r="D4" s="65" t="s">
        <v>54</v>
      </c>
      <c r="E4" s="66" t="s">
        <v>54</v>
      </c>
      <c r="F4" s="98"/>
      <c r="G4" s="67" t="s">
        <v>54</v>
      </c>
      <c r="H4" s="66" t="s">
        <v>54</v>
      </c>
      <c r="I4" s="67" t="s">
        <v>54</v>
      </c>
      <c r="J4" s="66" t="s">
        <v>54</v>
      </c>
      <c r="K4" s="67" t="s">
        <v>54</v>
      </c>
      <c r="L4" s="66" t="s">
        <v>54</v>
      </c>
      <c r="M4" s="67" t="s">
        <v>54</v>
      </c>
      <c r="N4" s="94" t="s">
        <v>54</v>
      </c>
      <c r="O4" s="95"/>
    </row>
    <row r="5" spans="1:15" s="31" customFormat="1" ht="15.75">
      <c r="A5" s="52" t="s">
        <v>41</v>
      </c>
      <c r="B5" s="72">
        <f>+B7+B14+B20</f>
        <v>388.20099999999957</v>
      </c>
      <c r="C5" s="30">
        <f>+C7+C14+C20</f>
        <v>179.3189999999999</v>
      </c>
      <c r="D5" s="25">
        <f>+D7+D14+D20</f>
        <v>567.5199999999991</v>
      </c>
      <c r="E5" s="30">
        <f>+E7+E14+E20</f>
        <v>118.506</v>
      </c>
      <c r="F5" s="26">
        <f>+F7+F14+F20</f>
        <v>0</v>
      </c>
      <c r="G5" s="26">
        <f aca="true" t="shared" si="0" ref="G5:M5">+G7+G14+G20</f>
        <v>0</v>
      </c>
      <c r="H5" s="30">
        <f t="shared" si="0"/>
        <v>147</v>
      </c>
      <c r="I5" s="26">
        <f t="shared" si="0"/>
        <v>-167</v>
      </c>
      <c r="J5" s="30">
        <f t="shared" si="0"/>
        <v>2</v>
      </c>
      <c r="K5" s="26">
        <f t="shared" si="0"/>
        <v>-513</v>
      </c>
      <c r="L5" s="30">
        <f t="shared" si="0"/>
        <v>-13</v>
      </c>
      <c r="M5" s="26">
        <f t="shared" si="0"/>
        <v>350</v>
      </c>
      <c r="N5" s="72">
        <f>+N7+N14+N20</f>
        <v>492.02599999999984</v>
      </c>
      <c r="O5" s="85">
        <f>+(N5-B5)/B5</f>
        <v>0.2674516551992406</v>
      </c>
    </row>
    <row r="6" spans="1:15" ht="12.75">
      <c r="A6" s="5"/>
      <c r="B6" s="32"/>
      <c r="C6" s="33"/>
      <c r="D6" s="9"/>
      <c r="E6" s="33"/>
      <c r="F6" s="10"/>
      <c r="G6" s="10"/>
      <c r="H6" s="33"/>
      <c r="I6" s="10"/>
      <c r="J6" s="33"/>
      <c r="K6" s="10"/>
      <c r="L6" s="33"/>
      <c r="M6" s="10"/>
      <c r="N6" s="32"/>
      <c r="O6" s="86"/>
    </row>
    <row r="7" spans="1:15" ht="12.75">
      <c r="A7" s="5" t="s">
        <v>42</v>
      </c>
      <c r="B7" s="32">
        <f aca="true" t="shared" si="1" ref="B7:M7">+SUM(B8:B12)</f>
        <v>1638.7140000000002</v>
      </c>
      <c r="C7" s="34">
        <f>+SUM(C8:C12)</f>
        <v>-9.210999999999999</v>
      </c>
      <c r="D7" s="9">
        <f>+SUM(D8:D12)</f>
        <v>1629.503</v>
      </c>
      <c r="E7" s="34">
        <f>+SUM(E8:E12)</f>
        <v>54.655</v>
      </c>
      <c r="F7" s="11">
        <f>+SUM(F8:F12)</f>
        <v>0</v>
      </c>
      <c r="G7" s="11">
        <f t="shared" si="1"/>
        <v>0</v>
      </c>
      <c r="H7" s="34">
        <f t="shared" si="1"/>
        <v>90</v>
      </c>
      <c r="I7" s="11">
        <f t="shared" si="1"/>
        <v>-48</v>
      </c>
      <c r="J7" s="34">
        <f t="shared" si="1"/>
        <v>0</v>
      </c>
      <c r="K7" s="11">
        <f t="shared" si="1"/>
        <v>-71</v>
      </c>
      <c r="L7" s="34">
        <f t="shared" si="1"/>
        <v>-13</v>
      </c>
      <c r="M7" s="11">
        <f t="shared" si="1"/>
        <v>200</v>
      </c>
      <c r="N7" s="32">
        <f>+SUM(N8:N12)</f>
        <v>1842.1580000000001</v>
      </c>
      <c r="O7" s="87">
        <f aca="true" t="shared" si="2" ref="O7:O12">+(N7-B7)/B7</f>
        <v>0.1241485701592834</v>
      </c>
    </row>
    <row r="8" spans="1:15" ht="12.75">
      <c r="A8" s="2" t="s">
        <v>43</v>
      </c>
      <c r="B8" s="73">
        <v>25.566</v>
      </c>
      <c r="C8" s="36">
        <v>0</v>
      </c>
      <c r="D8" s="12">
        <f>B8+C8</f>
        <v>25.566</v>
      </c>
      <c r="E8" s="36">
        <v>1.266</v>
      </c>
      <c r="F8" s="13"/>
      <c r="G8" s="13"/>
      <c r="H8" s="36"/>
      <c r="I8" s="13"/>
      <c r="J8" s="36"/>
      <c r="K8" s="13"/>
      <c r="L8" s="36">
        <f>-13</f>
        <v>-13</v>
      </c>
      <c r="M8" s="13"/>
      <c r="N8" s="73">
        <f>+D8+SUM(E8:M8)</f>
        <v>13.831999999999999</v>
      </c>
      <c r="O8" s="88">
        <f t="shared" si="2"/>
        <v>-0.45896894312759134</v>
      </c>
    </row>
    <row r="9" spans="1:15" ht="12.75">
      <c r="A9" s="2" t="s">
        <v>44</v>
      </c>
      <c r="B9" s="73">
        <v>92.614</v>
      </c>
      <c r="C9" s="36">
        <v>-25.03</v>
      </c>
      <c r="D9" s="12">
        <f>B9+C9</f>
        <v>67.584</v>
      </c>
      <c r="E9" s="36">
        <v>21.631</v>
      </c>
      <c r="F9" s="13"/>
      <c r="G9" s="13"/>
      <c r="H9" s="36"/>
      <c r="I9" s="13"/>
      <c r="J9" s="36"/>
      <c r="K9" s="13"/>
      <c r="L9" s="36"/>
      <c r="M9" s="13"/>
      <c r="N9" s="73">
        <f>+D9+SUM(E9:M9)</f>
        <v>89.215</v>
      </c>
      <c r="O9" s="88">
        <f t="shared" si="2"/>
        <v>-0.036700714794739464</v>
      </c>
    </row>
    <row r="10" spans="1:15" ht="12.75">
      <c r="A10" s="2" t="s">
        <v>68</v>
      </c>
      <c r="B10" s="73">
        <v>512.2</v>
      </c>
      <c r="C10" s="36">
        <v>20.978</v>
      </c>
      <c r="D10" s="12">
        <f>B10+C10</f>
        <v>533.178</v>
      </c>
      <c r="E10" s="36">
        <v>12.639</v>
      </c>
      <c r="F10" s="13"/>
      <c r="G10" s="13"/>
      <c r="H10" s="36">
        <v>90</v>
      </c>
      <c r="I10" s="13">
        <f>-14+-14</f>
        <v>-28</v>
      </c>
      <c r="J10" s="36"/>
      <c r="K10" s="13"/>
      <c r="L10" s="36"/>
      <c r="M10" s="13"/>
      <c r="N10" s="73">
        <f>+D10+SUM(E10:M10)</f>
        <v>607.817</v>
      </c>
      <c r="O10" s="88">
        <f t="shared" si="2"/>
        <v>0.18667903162827013</v>
      </c>
    </row>
    <row r="11" spans="1:15" ht="12.75">
      <c r="A11" s="2" t="s">
        <v>45</v>
      </c>
      <c r="B11" s="73">
        <v>-31.374</v>
      </c>
      <c r="C11" s="36">
        <v>0</v>
      </c>
      <c r="D11" s="12">
        <f>B11+C11</f>
        <v>-31.374</v>
      </c>
      <c r="E11" s="36">
        <v>3.201</v>
      </c>
      <c r="F11" s="13"/>
      <c r="G11" s="13"/>
      <c r="H11" s="36"/>
      <c r="I11" s="13"/>
      <c r="J11" s="36"/>
      <c r="K11" s="13"/>
      <c r="L11" s="36"/>
      <c r="M11" s="13"/>
      <c r="N11" s="73">
        <f>+D11+SUM(E11:M11)</f>
        <v>-28.173</v>
      </c>
      <c r="O11" s="88">
        <f t="shared" si="2"/>
        <v>-0.10202715624402374</v>
      </c>
    </row>
    <row r="12" spans="1:15" ht="12.75">
      <c r="A12" s="2" t="s">
        <v>61</v>
      </c>
      <c r="B12" s="73">
        <v>1039.708</v>
      </c>
      <c r="C12" s="36">
        <v>-5.159</v>
      </c>
      <c r="D12" s="12">
        <f>B12+C12</f>
        <v>1034.549</v>
      </c>
      <c r="E12" s="36">
        <v>15.918</v>
      </c>
      <c r="F12" s="13"/>
      <c r="G12" s="13"/>
      <c r="H12" s="36"/>
      <c r="I12" s="13">
        <f>-5+-15</f>
        <v>-20</v>
      </c>
      <c r="J12" s="36"/>
      <c r="K12" s="13">
        <f>-5+-66</f>
        <v>-71</v>
      </c>
      <c r="L12" s="36"/>
      <c r="M12" s="13">
        <f>50+150</f>
        <v>200</v>
      </c>
      <c r="N12" s="73">
        <f>+D12+SUM(E12:M12)</f>
        <v>1159.467</v>
      </c>
      <c r="O12" s="88">
        <f t="shared" si="2"/>
        <v>0.115185225082427</v>
      </c>
    </row>
    <row r="13" spans="1:15" ht="12.75">
      <c r="A13" s="5"/>
      <c r="B13" s="32"/>
      <c r="C13" s="33"/>
      <c r="D13" s="9"/>
      <c r="E13" s="33"/>
      <c r="F13" s="10"/>
      <c r="G13" s="10"/>
      <c r="H13" s="33"/>
      <c r="I13" s="10"/>
      <c r="J13" s="33"/>
      <c r="K13" s="10"/>
      <c r="L13" s="33"/>
      <c r="M13" s="10"/>
      <c r="N13" s="32"/>
      <c r="O13" s="86"/>
    </row>
    <row r="14" spans="1:15" ht="12.75">
      <c r="A14" s="7" t="s">
        <v>102</v>
      </c>
      <c r="B14" s="32">
        <f aca="true" t="shared" si="3" ref="B14:M14">+SUM(B15:B18)</f>
        <v>-4715.805</v>
      </c>
      <c r="C14" s="33">
        <f>+SUM(C15:C18)</f>
        <v>-258.01000000000005</v>
      </c>
      <c r="D14" s="9">
        <f>+SUM(D15:D18)</f>
        <v>-4973.8150000000005</v>
      </c>
      <c r="E14" s="33">
        <f>+SUM(E15:E18)</f>
        <v>13.953</v>
      </c>
      <c r="F14" s="10">
        <f>+SUM(F15:F18)</f>
        <v>0</v>
      </c>
      <c r="G14" s="10">
        <f t="shared" si="3"/>
        <v>0</v>
      </c>
      <c r="H14" s="33">
        <f t="shared" si="3"/>
        <v>53</v>
      </c>
      <c r="I14" s="10">
        <f t="shared" si="3"/>
        <v>-30</v>
      </c>
      <c r="J14" s="33">
        <f t="shared" si="3"/>
        <v>2</v>
      </c>
      <c r="K14" s="10">
        <f t="shared" si="3"/>
        <v>-442</v>
      </c>
      <c r="L14" s="33">
        <f t="shared" si="3"/>
        <v>0</v>
      </c>
      <c r="M14" s="10">
        <f t="shared" si="3"/>
        <v>150</v>
      </c>
      <c r="N14" s="32">
        <f>+SUM(N15:N18)</f>
        <v>-5226.862</v>
      </c>
      <c r="O14" s="87">
        <f>+(N14-B14)/B14</f>
        <v>0.10837110525138333</v>
      </c>
    </row>
    <row r="15" spans="1:15" ht="12.75">
      <c r="A15" s="4" t="s">
        <v>62</v>
      </c>
      <c r="B15" s="38">
        <v>-5805.926</v>
      </c>
      <c r="C15" s="39">
        <v>-364.187</v>
      </c>
      <c r="D15" s="12">
        <f>B15+C15</f>
        <v>-6170.113</v>
      </c>
      <c r="E15" s="39"/>
      <c r="F15" s="15"/>
      <c r="G15" s="15"/>
      <c r="H15" s="39">
        <v>3</v>
      </c>
      <c r="I15" s="15">
        <v>-30</v>
      </c>
      <c r="J15" s="39">
        <v>2</v>
      </c>
      <c r="K15" s="15">
        <f>-17+-365+-60</f>
        <v>-442</v>
      </c>
      <c r="L15" s="39"/>
      <c r="M15" s="15">
        <v>150</v>
      </c>
      <c r="N15" s="73">
        <f>+D15+SUM(E15:M15)</f>
        <v>-6487.113</v>
      </c>
      <c r="O15" s="88">
        <f>+(N15-B15)/B15</f>
        <v>0.11732615951357284</v>
      </c>
    </row>
    <row r="16" spans="1:15" ht="12.75">
      <c r="A16" s="4" t="s">
        <v>63</v>
      </c>
      <c r="B16" s="38">
        <v>479.877</v>
      </c>
      <c r="C16" s="39">
        <v>7.662</v>
      </c>
      <c r="D16" s="12">
        <f>B16+C16</f>
        <v>487.539</v>
      </c>
      <c r="E16" s="39"/>
      <c r="F16" s="15"/>
      <c r="G16" s="15"/>
      <c r="H16" s="39"/>
      <c r="I16" s="15"/>
      <c r="J16" s="39"/>
      <c r="K16" s="15"/>
      <c r="L16" s="39"/>
      <c r="M16" s="15"/>
      <c r="N16" s="73">
        <f>+D16+SUM(E16:M16)</f>
        <v>487.539</v>
      </c>
      <c r="O16" s="88">
        <f>+(N16-B16)/B16</f>
        <v>0.01596659143905621</v>
      </c>
    </row>
    <row r="17" spans="1:15" ht="12.75">
      <c r="A17" s="4" t="s">
        <v>64</v>
      </c>
      <c r="B17" s="38">
        <v>306.045</v>
      </c>
      <c r="C17" s="39"/>
      <c r="D17" s="12">
        <f>B17+C17</f>
        <v>306.045</v>
      </c>
      <c r="E17" s="39"/>
      <c r="F17" s="15"/>
      <c r="G17" s="15"/>
      <c r="H17" s="39"/>
      <c r="I17" s="15"/>
      <c r="J17" s="39"/>
      <c r="K17" s="15"/>
      <c r="L17" s="39"/>
      <c r="M17" s="15"/>
      <c r="N17" s="73">
        <f>+D17+SUM(E17:M17)</f>
        <v>306.045</v>
      </c>
      <c r="O17" s="88">
        <f>+(N17-B17)/B17</f>
        <v>0</v>
      </c>
    </row>
    <row r="18" spans="1:15" ht="12.75">
      <c r="A18" s="4" t="s">
        <v>68</v>
      </c>
      <c r="B18" s="38">
        <v>304.199</v>
      </c>
      <c r="C18" s="39">
        <v>98.515</v>
      </c>
      <c r="D18" s="12">
        <f>B18+C18</f>
        <v>402.714</v>
      </c>
      <c r="E18" s="39">
        <v>13.953</v>
      </c>
      <c r="F18" s="15"/>
      <c r="G18" s="15"/>
      <c r="H18" s="39">
        <v>50</v>
      </c>
      <c r="I18" s="15"/>
      <c r="J18" s="39"/>
      <c r="K18" s="15"/>
      <c r="L18" s="39"/>
      <c r="M18" s="15"/>
      <c r="N18" s="73">
        <f>+D18+SUM(E18:M18)</f>
        <v>466.66700000000003</v>
      </c>
      <c r="O18" s="88">
        <f>+(N18-B18)/B18</f>
        <v>0.5340845959388427</v>
      </c>
    </row>
    <row r="19" spans="1:15" ht="12.75">
      <c r="A19" s="6"/>
      <c r="B19" s="32"/>
      <c r="C19" s="33"/>
      <c r="D19" s="9"/>
      <c r="E19" s="33"/>
      <c r="F19" s="10"/>
      <c r="G19" s="10"/>
      <c r="H19" s="33"/>
      <c r="I19" s="10"/>
      <c r="J19" s="33"/>
      <c r="K19" s="10"/>
      <c r="L19" s="33"/>
      <c r="M19" s="10"/>
      <c r="N19" s="32"/>
      <c r="O19" s="86"/>
    </row>
    <row r="20" spans="1:15" ht="12.75">
      <c r="A20" s="7" t="s">
        <v>103</v>
      </c>
      <c r="B20" s="32">
        <f>+SUM(B21:B23)</f>
        <v>3465.292</v>
      </c>
      <c r="C20" s="33">
        <f>+SUM(C21:C23)</f>
        <v>446.53999999999996</v>
      </c>
      <c r="D20" s="9">
        <f>+SUM(D21:D23)</f>
        <v>3911.832</v>
      </c>
      <c r="E20" s="33">
        <f>+SUM(E21:E23)</f>
        <v>49.897999999999996</v>
      </c>
      <c r="F20" s="19">
        <f aca="true" t="shared" si="4" ref="F20:M20">+SUM(F21:F23)</f>
        <v>0</v>
      </c>
      <c r="G20" s="19">
        <f t="shared" si="4"/>
        <v>0</v>
      </c>
      <c r="H20" s="19">
        <f t="shared" si="4"/>
        <v>4</v>
      </c>
      <c r="I20" s="19">
        <f t="shared" si="4"/>
        <v>-89</v>
      </c>
      <c r="J20" s="19">
        <f t="shared" si="4"/>
        <v>0</v>
      </c>
      <c r="K20" s="19">
        <f t="shared" si="4"/>
        <v>0</v>
      </c>
      <c r="L20" s="19">
        <f t="shared" si="4"/>
        <v>0</v>
      </c>
      <c r="M20" s="33">
        <f t="shared" si="4"/>
        <v>0</v>
      </c>
      <c r="N20" s="9">
        <f>+SUM(N21:N23)</f>
        <v>3876.7299999999996</v>
      </c>
      <c r="O20" s="87">
        <f>+(N20-B20)/B20</f>
        <v>0.11873111991716706</v>
      </c>
    </row>
    <row r="21" spans="1:15" ht="12.75">
      <c r="A21" s="3" t="s">
        <v>17</v>
      </c>
      <c r="B21" s="38">
        <v>585.119</v>
      </c>
      <c r="C21" s="39">
        <v>61.937</v>
      </c>
      <c r="D21" s="12">
        <f>B21+C21</f>
        <v>647.056</v>
      </c>
      <c r="E21" s="39">
        <v>6.979</v>
      </c>
      <c r="F21" s="15"/>
      <c r="G21" s="15"/>
      <c r="H21" s="39"/>
      <c r="I21" s="15">
        <v>-5</v>
      </c>
      <c r="J21" s="39"/>
      <c r="K21" s="15"/>
      <c r="L21" s="39"/>
      <c r="M21" s="15"/>
      <c r="N21" s="73">
        <f>+D21+SUM(E21:M21)</f>
        <v>649.0350000000001</v>
      </c>
      <c r="O21" s="88">
        <f>+(N21-B21)/B21</f>
        <v>0.10923589902225025</v>
      </c>
    </row>
    <row r="22" spans="1:15" ht="12.75">
      <c r="A22" s="3" t="s">
        <v>18</v>
      </c>
      <c r="B22" s="38">
        <v>2872.687</v>
      </c>
      <c r="C22" s="39">
        <v>930.819</v>
      </c>
      <c r="D22" s="12">
        <f>B22+C22</f>
        <v>3803.506</v>
      </c>
      <c r="E22" s="39">
        <v>34.601</v>
      </c>
      <c r="F22" s="15"/>
      <c r="G22" s="15"/>
      <c r="H22" s="39"/>
      <c r="I22" s="15">
        <f>-36+-10+-36</f>
        <v>-82</v>
      </c>
      <c r="J22" s="39"/>
      <c r="K22" s="15"/>
      <c r="L22" s="39"/>
      <c r="M22" s="15"/>
      <c r="N22" s="73">
        <f>+D22+SUM(E22:M22)</f>
        <v>3756.107</v>
      </c>
      <c r="O22" s="88">
        <f>+(N22-B22)/B22</f>
        <v>0.3075239314272666</v>
      </c>
    </row>
    <row r="23" spans="1:15" ht="12.75">
      <c r="A23" s="3" t="s">
        <v>106</v>
      </c>
      <c r="B23" s="38">
        <v>7.486</v>
      </c>
      <c r="C23" s="39">
        <v>-546.216</v>
      </c>
      <c r="D23" s="12">
        <f>B23+C23</f>
        <v>-538.73</v>
      </c>
      <c r="E23" s="39">
        <v>8.318</v>
      </c>
      <c r="F23" s="15"/>
      <c r="G23" s="15"/>
      <c r="H23" s="39">
        <v>4</v>
      </c>
      <c r="I23" s="15">
        <v>-2</v>
      </c>
      <c r="J23" s="39"/>
      <c r="K23" s="15"/>
      <c r="L23" s="39"/>
      <c r="M23" s="15"/>
      <c r="N23" s="73">
        <f>+D23+SUM(E23:M23)</f>
        <v>-528.412</v>
      </c>
      <c r="O23" s="88">
        <f>+(N23-B23)/B23</f>
        <v>-71.58669516430672</v>
      </c>
    </row>
    <row r="24" spans="1:15" ht="12.75">
      <c r="A24" s="5"/>
      <c r="B24" s="32"/>
      <c r="C24" s="33"/>
      <c r="D24" s="9"/>
      <c r="E24" s="33"/>
      <c r="F24" s="10"/>
      <c r="G24" s="10"/>
      <c r="H24" s="33"/>
      <c r="I24" s="10"/>
      <c r="J24" s="33"/>
      <c r="K24" s="10"/>
      <c r="L24" s="33"/>
      <c r="M24" s="10"/>
      <c r="N24" s="32"/>
      <c r="O24" s="86"/>
    </row>
    <row r="25" spans="1:15" s="31" customFormat="1" ht="15.75">
      <c r="A25" s="57" t="s">
        <v>75</v>
      </c>
      <c r="B25" s="72">
        <f aca="true" t="shared" si="5" ref="B25:N25">+B27+B34+B41+B48+B55</f>
        <v>5015.642</v>
      </c>
      <c r="C25" s="30">
        <f t="shared" si="5"/>
        <v>423.639</v>
      </c>
      <c r="D25" s="25">
        <f t="shared" si="5"/>
        <v>5439.281</v>
      </c>
      <c r="E25" s="30">
        <f t="shared" si="5"/>
        <v>231.24199999999996</v>
      </c>
      <c r="F25" s="26">
        <f t="shared" si="5"/>
        <v>0</v>
      </c>
      <c r="G25" s="26">
        <f t="shared" si="5"/>
        <v>91</v>
      </c>
      <c r="H25" s="30">
        <f t="shared" si="5"/>
        <v>245</v>
      </c>
      <c r="I25" s="26">
        <f t="shared" si="5"/>
        <v>-147</v>
      </c>
      <c r="J25" s="30">
        <f t="shared" si="5"/>
        <v>33</v>
      </c>
      <c r="K25" s="26">
        <f t="shared" si="5"/>
        <v>-39</v>
      </c>
      <c r="L25" s="30">
        <f t="shared" si="5"/>
        <v>-55</v>
      </c>
      <c r="M25" s="26">
        <f t="shared" si="5"/>
        <v>390</v>
      </c>
      <c r="N25" s="72">
        <f t="shared" si="5"/>
        <v>6188.522999999999</v>
      </c>
      <c r="O25" s="85">
        <f>+(N25-B25)/B25</f>
        <v>0.2338446404268884</v>
      </c>
    </row>
    <row r="26" spans="1:15" ht="12.75">
      <c r="A26" s="5"/>
      <c r="B26" s="32"/>
      <c r="C26" s="33"/>
      <c r="D26" s="9"/>
      <c r="E26" s="33"/>
      <c r="F26" s="10"/>
      <c r="G26" s="10"/>
      <c r="H26" s="33"/>
      <c r="I26" s="10"/>
      <c r="J26" s="33"/>
      <c r="K26" s="10"/>
      <c r="L26" s="33"/>
      <c r="M26" s="10"/>
      <c r="N26" s="73"/>
      <c r="O26" s="86"/>
    </row>
    <row r="27" spans="1:15" ht="12.75">
      <c r="A27" s="5" t="s">
        <v>31</v>
      </c>
      <c r="B27" s="32">
        <f aca="true" t="shared" si="6" ref="B27:N27">+SUM(B28:B32)</f>
        <v>261.736</v>
      </c>
      <c r="C27" s="34">
        <f t="shared" si="6"/>
        <v>0.0040000000000000036</v>
      </c>
      <c r="D27" s="9">
        <f t="shared" si="6"/>
        <v>261.74</v>
      </c>
      <c r="E27" s="34">
        <f t="shared" si="6"/>
        <v>31.782999999999998</v>
      </c>
      <c r="F27" s="11">
        <f t="shared" si="6"/>
        <v>0</v>
      </c>
      <c r="G27" s="11">
        <f t="shared" si="6"/>
        <v>0</v>
      </c>
      <c r="H27" s="34">
        <f t="shared" si="6"/>
        <v>0</v>
      </c>
      <c r="I27" s="11">
        <f t="shared" si="6"/>
        <v>-29</v>
      </c>
      <c r="J27" s="34">
        <f t="shared" si="6"/>
        <v>0</v>
      </c>
      <c r="K27" s="11">
        <f t="shared" si="6"/>
        <v>0</v>
      </c>
      <c r="L27" s="34">
        <f t="shared" si="6"/>
        <v>0</v>
      </c>
      <c r="M27" s="11">
        <f t="shared" si="6"/>
        <v>0</v>
      </c>
      <c r="N27" s="32">
        <f t="shared" si="6"/>
        <v>264.52299999999997</v>
      </c>
      <c r="O27" s="87">
        <f aca="true" t="shared" si="7" ref="O27:O32">+(N27-B27)/B27</f>
        <v>0.010648133997615834</v>
      </c>
    </row>
    <row r="28" spans="1:15" ht="12.75">
      <c r="A28" s="2" t="s">
        <v>33</v>
      </c>
      <c r="B28" s="38">
        <v>16.437</v>
      </c>
      <c r="C28" s="39">
        <v>6</v>
      </c>
      <c r="D28" s="12">
        <f>B28+C28</f>
        <v>22.437</v>
      </c>
      <c r="E28" s="39">
        <v>20.572</v>
      </c>
      <c r="F28" s="15"/>
      <c r="G28" s="15"/>
      <c r="H28" s="39"/>
      <c r="I28" s="15"/>
      <c r="J28" s="39"/>
      <c r="K28" s="15"/>
      <c r="L28" s="39"/>
      <c r="M28" s="15"/>
      <c r="N28" s="73">
        <f>+D28+SUM(E28:M28)</f>
        <v>43.009</v>
      </c>
      <c r="O28" s="88">
        <f t="shared" si="7"/>
        <v>1.6165967025612944</v>
      </c>
    </row>
    <row r="29" spans="1:15" ht="12.75">
      <c r="A29" s="2" t="s">
        <v>35</v>
      </c>
      <c r="B29" s="38">
        <v>0.03</v>
      </c>
      <c r="C29" s="39"/>
      <c r="D29" s="12">
        <f>B29+C29</f>
        <v>0.03</v>
      </c>
      <c r="E29" s="39"/>
      <c r="F29" s="15"/>
      <c r="G29" s="15"/>
      <c r="H29" s="39"/>
      <c r="I29" s="15"/>
      <c r="J29" s="39"/>
      <c r="K29" s="15"/>
      <c r="L29" s="39"/>
      <c r="M29" s="15"/>
      <c r="N29" s="73">
        <f>+D29+SUM(E29:M29)</f>
        <v>0.03</v>
      </c>
      <c r="O29" s="88">
        <f t="shared" si="7"/>
        <v>0</v>
      </c>
    </row>
    <row r="30" spans="1:15" ht="12.75">
      <c r="A30" s="2" t="s">
        <v>32</v>
      </c>
      <c r="B30" s="38">
        <v>63.817</v>
      </c>
      <c r="C30" s="39">
        <v>-3.5</v>
      </c>
      <c r="D30" s="12">
        <f>B30+C30</f>
        <v>60.317</v>
      </c>
      <c r="E30" s="39"/>
      <c r="F30" s="15"/>
      <c r="G30" s="15"/>
      <c r="H30" s="39"/>
      <c r="I30" s="15">
        <v>-4</v>
      </c>
      <c r="J30" s="39"/>
      <c r="K30" s="15"/>
      <c r="L30" s="39"/>
      <c r="M30" s="15"/>
      <c r="N30" s="73">
        <f>+D30+SUM(E30:M30)</f>
        <v>56.317</v>
      </c>
      <c r="O30" s="88">
        <f t="shared" si="7"/>
        <v>-0.11752354388329128</v>
      </c>
    </row>
    <row r="31" spans="1:15" ht="12.75">
      <c r="A31" s="2" t="s">
        <v>36</v>
      </c>
      <c r="B31" s="38">
        <v>174.015</v>
      </c>
      <c r="C31" s="39">
        <v>-2.496</v>
      </c>
      <c r="D31" s="12">
        <f>B31+C31</f>
        <v>171.51899999999998</v>
      </c>
      <c r="E31" s="39">
        <v>5.261</v>
      </c>
      <c r="F31" s="15"/>
      <c r="G31" s="15"/>
      <c r="H31" s="39"/>
      <c r="I31" s="15"/>
      <c r="J31" s="39"/>
      <c r="K31" s="15"/>
      <c r="L31" s="39"/>
      <c r="M31" s="15"/>
      <c r="N31" s="73">
        <f>+D31+SUM(E31:M31)</f>
        <v>176.77999999999997</v>
      </c>
      <c r="O31" s="88">
        <f t="shared" si="7"/>
        <v>0.01588943481883738</v>
      </c>
    </row>
    <row r="32" spans="1:15" ht="12.75">
      <c r="A32" s="2" t="s">
        <v>19</v>
      </c>
      <c r="B32" s="38">
        <v>7.437</v>
      </c>
      <c r="C32" s="39"/>
      <c r="D32" s="12">
        <f>B32+C32</f>
        <v>7.437</v>
      </c>
      <c r="E32" s="39">
        <v>5.95</v>
      </c>
      <c r="F32" s="15"/>
      <c r="G32" s="15"/>
      <c r="H32" s="39"/>
      <c r="I32" s="15">
        <v>-25</v>
      </c>
      <c r="J32" s="39"/>
      <c r="K32" s="15"/>
      <c r="L32" s="39"/>
      <c r="M32" s="15"/>
      <c r="N32" s="73">
        <f>+D32+SUM(E32:M32)</f>
        <v>-11.613</v>
      </c>
      <c r="O32" s="88">
        <f t="shared" si="7"/>
        <v>-2.5615167406212183</v>
      </c>
    </row>
    <row r="33" spans="1:15" ht="12.75">
      <c r="A33" s="2"/>
      <c r="B33" s="38"/>
      <c r="C33" s="39"/>
      <c r="D33" s="14"/>
      <c r="E33" s="39"/>
      <c r="F33" s="15"/>
      <c r="G33" s="15"/>
      <c r="H33" s="39"/>
      <c r="I33" s="15"/>
      <c r="J33" s="39"/>
      <c r="K33" s="15"/>
      <c r="L33" s="39"/>
      <c r="M33" s="15"/>
      <c r="N33" s="73"/>
      <c r="O33" s="88"/>
    </row>
    <row r="34" spans="1:15" ht="15" customHeight="1">
      <c r="A34" s="5" t="s">
        <v>76</v>
      </c>
      <c r="B34" s="32">
        <f aca="true" t="shared" si="8" ref="B34:G34">SUM(B35:B39)</f>
        <v>702.971</v>
      </c>
      <c r="C34" s="33">
        <f t="shared" si="8"/>
        <v>361.586</v>
      </c>
      <c r="D34" s="9">
        <f t="shared" si="8"/>
        <v>1064.557</v>
      </c>
      <c r="E34" s="33">
        <f t="shared" si="8"/>
        <v>31.332</v>
      </c>
      <c r="F34" s="10">
        <f t="shared" si="8"/>
        <v>0</v>
      </c>
      <c r="G34" s="10">
        <f t="shared" si="8"/>
        <v>91</v>
      </c>
      <c r="H34" s="33">
        <f aca="true" t="shared" si="9" ref="H34:N34">SUM(H35:H39)</f>
        <v>10</v>
      </c>
      <c r="I34" s="10">
        <f t="shared" si="9"/>
        <v>-88</v>
      </c>
      <c r="J34" s="33">
        <f t="shared" si="9"/>
        <v>0</v>
      </c>
      <c r="K34" s="10">
        <f t="shared" si="9"/>
        <v>0</v>
      </c>
      <c r="L34" s="33">
        <f t="shared" si="9"/>
        <v>0</v>
      </c>
      <c r="M34" s="10">
        <f t="shared" si="9"/>
        <v>150</v>
      </c>
      <c r="N34" s="32">
        <f t="shared" si="9"/>
        <v>1258.8890000000001</v>
      </c>
      <c r="O34" s="87">
        <f aca="true" t="shared" si="10" ref="O34:O39">+(N34-B34)/B34</f>
        <v>0.7908121387653262</v>
      </c>
    </row>
    <row r="35" spans="1:15" ht="12.75">
      <c r="A35" s="99" t="s">
        <v>94</v>
      </c>
      <c r="B35" s="38">
        <v>44.109</v>
      </c>
      <c r="C35" s="39">
        <v>-28.854</v>
      </c>
      <c r="D35" s="12">
        <f>B35+C35</f>
        <v>15.255000000000003</v>
      </c>
      <c r="E35" s="39">
        <v>4.22</v>
      </c>
      <c r="F35" s="15"/>
      <c r="G35" s="15"/>
      <c r="H35" s="39"/>
      <c r="I35" s="15">
        <f>-30+-1+-5</f>
        <v>-36</v>
      </c>
      <c r="J35" s="39"/>
      <c r="K35" s="15"/>
      <c r="L35" s="39"/>
      <c r="M35" s="15"/>
      <c r="N35" s="73">
        <f>+D35+SUM(E35:M35)</f>
        <v>-16.525</v>
      </c>
      <c r="O35" s="88">
        <f t="shared" si="10"/>
        <v>-1.3746400961255072</v>
      </c>
    </row>
    <row r="36" spans="1:15" ht="12.75">
      <c r="A36" s="99" t="s">
        <v>0</v>
      </c>
      <c r="B36" s="38">
        <v>384.131</v>
      </c>
      <c r="C36" s="39">
        <v>1.303</v>
      </c>
      <c r="D36" s="12">
        <f>B36+C36</f>
        <v>385.43399999999997</v>
      </c>
      <c r="E36" s="39"/>
      <c r="F36" s="15"/>
      <c r="G36" s="15"/>
      <c r="H36" s="39"/>
      <c r="I36" s="15"/>
      <c r="J36" s="39"/>
      <c r="K36" s="15"/>
      <c r="L36" s="39"/>
      <c r="M36" s="15">
        <v>150</v>
      </c>
      <c r="N36" s="73">
        <f>+D36+SUM(E36:M36)</f>
        <v>535.434</v>
      </c>
      <c r="O36" s="88">
        <f t="shared" si="10"/>
        <v>0.3938838573299213</v>
      </c>
    </row>
    <row r="37" spans="1:15" ht="12.75">
      <c r="A37" s="20" t="s">
        <v>67</v>
      </c>
      <c r="B37" s="38">
        <v>-89.394</v>
      </c>
      <c r="C37" s="39">
        <v>-1.354</v>
      </c>
      <c r="D37" s="12">
        <f>B37+C37</f>
        <v>-90.748</v>
      </c>
      <c r="E37" s="39"/>
      <c r="F37" s="15"/>
      <c r="G37" s="15"/>
      <c r="H37" s="39"/>
      <c r="I37" s="15"/>
      <c r="J37" s="39"/>
      <c r="K37" s="15"/>
      <c r="L37" s="39"/>
      <c r="M37" s="15"/>
      <c r="N37" s="73">
        <f>+D37+SUM(E37:M37)</f>
        <v>-90.748</v>
      </c>
      <c r="O37" s="88">
        <f t="shared" si="10"/>
        <v>0.015146430409199713</v>
      </c>
    </row>
    <row r="38" spans="1:15" ht="12.75">
      <c r="A38" s="99" t="s">
        <v>95</v>
      </c>
      <c r="B38" s="38">
        <v>54.111</v>
      </c>
      <c r="C38" s="39">
        <v>0.731</v>
      </c>
      <c r="D38" s="12">
        <f>B38+C38</f>
        <v>54.842</v>
      </c>
      <c r="E38" s="39">
        <v>6.166</v>
      </c>
      <c r="F38" s="15"/>
      <c r="G38" s="15"/>
      <c r="H38" s="39"/>
      <c r="I38" s="15"/>
      <c r="J38" s="39"/>
      <c r="K38" s="15"/>
      <c r="L38" s="39"/>
      <c r="M38" s="15"/>
      <c r="N38" s="73">
        <f>+D38+SUM(E38:M38)</f>
        <v>61.007999999999996</v>
      </c>
      <c r="O38" s="88">
        <f t="shared" si="10"/>
        <v>0.12746022065753726</v>
      </c>
    </row>
    <row r="39" spans="1:15" ht="12.75">
      <c r="A39" s="3" t="s">
        <v>77</v>
      </c>
      <c r="B39" s="38">
        <v>310.014</v>
      </c>
      <c r="C39" s="39">
        <v>389.76</v>
      </c>
      <c r="D39" s="12">
        <f>B39+C39</f>
        <v>699.774</v>
      </c>
      <c r="E39" s="39">
        <v>20.946</v>
      </c>
      <c r="F39" s="15"/>
      <c r="G39" s="15">
        <f>65+26</f>
        <v>91</v>
      </c>
      <c r="H39" s="39">
        <v>10</v>
      </c>
      <c r="I39" s="15">
        <f>-2+-50</f>
        <v>-52</v>
      </c>
      <c r="J39" s="39"/>
      <c r="K39" s="15"/>
      <c r="L39" s="39"/>
      <c r="M39" s="15"/>
      <c r="N39" s="73">
        <f>+D39+SUM(E39:M39)</f>
        <v>769.72</v>
      </c>
      <c r="O39" s="88">
        <f t="shared" si="10"/>
        <v>1.4828556129723174</v>
      </c>
    </row>
    <row r="40" spans="1:15" ht="12.75">
      <c r="A40" s="20"/>
      <c r="B40" s="38"/>
      <c r="C40" s="39"/>
      <c r="D40" s="14"/>
      <c r="E40" s="39"/>
      <c r="F40" s="15"/>
      <c r="G40" s="15"/>
      <c r="H40" s="39"/>
      <c r="I40" s="15"/>
      <c r="J40" s="39"/>
      <c r="K40" s="15"/>
      <c r="L40" s="39"/>
      <c r="M40" s="15"/>
      <c r="N40" s="73"/>
      <c r="O40" s="88"/>
    </row>
    <row r="41" spans="1:15" ht="12.75">
      <c r="A41" s="5" t="s">
        <v>39</v>
      </c>
      <c r="B41" s="32">
        <f>+SUM(B42:B46)</f>
        <v>3405.957</v>
      </c>
      <c r="C41" s="33">
        <f>+SUM(C42:C46)</f>
        <v>93.197</v>
      </c>
      <c r="D41" s="9">
        <f>+SUM(D42:D46)</f>
        <v>3499.154</v>
      </c>
      <c r="E41" s="33">
        <f>+SUM(E42:E46)</f>
        <v>80.253</v>
      </c>
      <c r="F41" s="10">
        <f>+SUM(F42:F46)</f>
        <v>0</v>
      </c>
      <c r="G41" s="10">
        <f aca="true" t="shared" si="11" ref="G41:N41">+SUM(G42:G46)</f>
        <v>0</v>
      </c>
      <c r="H41" s="33">
        <f t="shared" si="11"/>
        <v>85</v>
      </c>
      <c r="I41" s="10">
        <f t="shared" si="11"/>
        <v>-25</v>
      </c>
      <c r="J41" s="33">
        <f t="shared" si="11"/>
        <v>43</v>
      </c>
      <c r="K41" s="10">
        <f t="shared" si="11"/>
        <v>-14</v>
      </c>
      <c r="L41" s="33">
        <f t="shared" si="11"/>
        <v>0</v>
      </c>
      <c r="M41" s="10">
        <f t="shared" si="11"/>
        <v>35</v>
      </c>
      <c r="N41" s="32">
        <f t="shared" si="11"/>
        <v>3703.4069999999997</v>
      </c>
      <c r="O41" s="87">
        <f aca="true" t="shared" si="12" ref="O41:O46">+(N41-B41)/B41</f>
        <v>0.0873322828209516</v>
      </c>
    </row>
    <row r="42" spans="1:15" ht="12.75">
      <c r="A42" s="3" t="s">
        <v>78</v>
      </c>
      <c r="B42" s="38">
        <v>50.015</v>
      </c>
      <c r="C42" s="39"/>
      <c r="D42" s="12">
        <f>B42+C42</f>
        <v>50.015</v>
      </c>
      <c r="E42" s="39"/>
      <c r="F42" s="15"/>
      <c r="G42" s="15"/>
      <c r="H42" s="39"/>
      <c r="I42" s="15"/>
      <c r="J42" s="39">
        <v>-20</v>
      </c>
      <c r="K42" s="15"/>
      <c r="L42" s="39"/>
      <c r="M42" s="15"/>
      <c r="N42" s="73">
        <f>+D42+SUM(E42:M42)</f>
        <v>30.015</v>
      </c>
      <c r="O42" s="88">
        <f t="shared" si="12"/>
        <v>-0.39988003598920324</v>
      </c>
    </row>
    <row r="43" spans="1:15" ht="12.75">
      <c r="A43" s="3" t="s">
        <v>79</v>
      </c>
      <c r="B43" s="38">
        <v>37.317</v>
      </c>
      <c r="C43" s="39"/>
      <c r="D43" s="12">
        <f>B43+C43</f>
        <v>37.317</v>
      </c>
      <c r="E43" s="39">
        <v>39.189</v>
      </c>
      <c r="F43" s="15"/>
      <c r="G43" s="15"/>
      <c r="H43" s="39"/>
      <c r="I43" s="15">
        <v>-25</v>
      </c>
      <c r="J43" s="39"/>
      <c r="K43" s="15"/>
      <c r="L43" s="39"/>
      <c r="M43" s="15">
        <v>35</v>
      </c>
      <c r="N43" s="73">
        <f>+D43+SUM(E43:M43)</f>
        <v>86.506</v>
      </c>
      <c r="O43" s="88">
        <f t="shared" si="12"/>
        <v>1.3181391858938285</v>
      </c>
    </row>
    <row r="44" spans="1:15" ht="12.75">
      <c r="A44" s="3" t="s">
        <v>19</v>
      </c>
      <c r="B44" s="38">
        <f>1113.898+-0.237</f>
        <v>1113.6609999999998</v>
      </c>
      <c r="C44" s="39"/>
      <c r="D44" s="12">
        <f>B44+C44</f>
        <v>1113.6609999999998</v>
      </c>
      <c r="E44" s="39">
        <v>12.066</v>
      </c>
      <c r="F44" s="15"/>
      <c r="G44" s="15"/>
      <c r="H44" s="39"/>
      <c r="I44" s="15"/>
      <c r="J44" s="39">
        <f>25+38</f>
        <v>63</v>
      </c>
      <c r="K44" s="15">
        <v>-14</v>
      </c>
      <c r="L44" s="39"/>
      <c r="M44" s="15"/>
      <c r="N44" s="73">
        <f>+D44+SUM(E44:M44)</f>
        <v>1174.7269999999999</v>
      </c>
      <c r="O44" s="88">
        <f t="shared" si="12"/>
        <v>0.054833562457516284</v>
      </c>
    </row>
    <row r="45" spans="1:15" ht="12.75">
      <c r="A45" s="3" t="s">
        <v>53</v>
      </c>
      <c r="B45" s="38">
        <v>2205.114</v>
      </c>
      <c r="C45" s="39">
        <f>41.151+52.046</f>
        <v>93.197</v>
      </c>
      <c r="D45" s="12">
        <f>B45+C45</f>
        <v>2298.311</v>
      </c>
      <c r="E45" s="39">
        <f>26.589+2.409</f>
        <v>28.997999999999998</v>
      </c>
      <c r="F45" s="15"/>
      <c r="G45" s="15"/>
      <c r="H45" s="39">
        <v>85</v>
      </c>
      <c r="I45" s="15"/>
      <c r="J45" s="39"/>
      <c r="K45" s="15"/>
      <c r="L45" s="39"/>
      <c r="M45" s="15"/>
      <c r="N45" s="73">
        <f>+D45+SUM(E45:M45)</f>
        <v>2412.309</v>
      </c>
      <c r="O45" s="88">
        <f t="shared" si="12"/>
        <v>0.09396112854029323</v>
      </c>
    </row>
    <row r="46" spans="1:15" ht="12.75">
      <c r="A46" s="3" t="s">
        <v>80</v>
      </c>
      <c r="B46" s="38">
        <v>-0.15</v>
      </c>
      <c r="C46" s="39"/>
      <c r="D46" s="12">
        <f>B46+C46</f>
        <v>-0.15</v>
      </c>
      <c r="E46" s="39"/>
      <c r="F46" s="15"/>
      <c r="G46" s="15"/>
      <c r="H46" s="39"/>
      <c r="I46" s="15"/>
      <c r="J46" s="39"/>
      <c r="K46" s="15"/>
      <c r="L46" s="39"/>
      <c r="M46" s="15"/>
      <c r="N46" s="73">
        <f>+D46+SUM(E46:M46)</f>
        <v>-0.15</v>
      </c>
      <c r="O46" s="88">
        <f t="shared" si="12"/>
        <v>0</v>
      </c>
    </row>
    <row r="47" spans="1:16" ht="12.75">
      <c r="A47" s="20"/>
      <c r="B47" s="38"/>
      <c r="C47" s="39"/>
      <c r="D47" s="102"/>
      <c r="E47" s="103"/>
      <c r="F47" s="103"/>
      <c r="G47" s="103"/>
      <c r="H47" s="103"/>
      <c r="I47" s="103"/>
      <c r="J47" s="103"/>
      <c r="K47" s="103"/>
      <c r="L47" s="103"/>
      <c r="M47" s="103"/>
      <c r="N47" s="104"/>
      <c r="O47" s="88"/>
      <c r="P47" s="105"/>
    </row>
    <row r="48" spans="1:15" ht="17.25" customHeight="1">
      <c r="A48" s="5" t="s">
        <v>84</v>
      </c>
      <c r="B48" s="32">
        <f aca="true" t="shared" si="13" ref="B48:G48">+SUM(B49:B53)</f>
        <v>292.966</v>
      </c>
      <c r="C48" s="34">
        <f t="shared" si="13"/>
        <v>-30.477999999999994</v>
      </c>
      <c r="D48" s="9">
        <f t="shared" si="13"/>
        <v>262.488</v>
      </c>
      <c r="E48" s="34">
        <f t="shared" si="13"/>
        <v>46.846999999999994</v>
      </c>
      <c r="F48" s="11">
        <f t="shared" si="13"/>
        <v>0</v>
      </c>
      <c r="G48" s="11">
        <f t="shared" si="13"/>
        <v>0</v>
      </c>
      <c r="H48" s="34">
        <f aca="true" t="shared" si="14" ref="H48:N48">+SUM(H49:H53)</f>
        <v>100</v>
      </c>
      <c r="I48" s="11">
        <f t="shared" si="14"/>
        <v>-2</v>
      </c>
      <c r="J48" s="34">
        <f t="shared" si="14"/>
        <v>-10</v>
      </c>
      <c r="K48" s="11">
        <f t="shared" si="14"/>
        <v>-20</v>
      </c>
      <c r="L48" s="34">
        <f t="shared" si="14"/>
        <v>-55</v>
      </c>
      <c r="M48" s="11">
        <f t="shared" si="14"/>
        <v>205</v>
      </c>
      <c r="N48" s="32">
        <f t="shared" si="14"/>
        <v>527.335</v>
      </c>
      <c r="O48" s="87">
        <f aca="true" t="shared" si="15" ref="O48:O53">+(N48-B48)/B48</f>
        <v>0.7999870292115809</v>
      </c>
    </row>
    <row r="49" spans="1:15" ht="12.75">
      <c r="A49" s="2" t="s">
        <v>81</v>
      </c>
      <c r="B49" s="38">
        <v>219.356</v>
      </c>
      <c r="C49" s="39">
        <v>-77.327</v>
      </c>
      <c r="D49" s="12">
        <f>B49+C49</f>
        <v>142.029</v>
      </c>
      <c r="E49" s="39">
        <v>17.593</v>
      </c>
      <c r="F49" s="15"/>
      <c r="G49" s="15"/>
      <c r="H49" s="39">
        <v>-25</v>
      </c>
      <c r="I49" s="15"/>
      <c r="J49" s="39"/>
      <c r="K49" s="15">
        <v>-20</v>
      </c>
      <c r="L49" s="39"/>
      <c r="M49" s="15">
        <f>5+75</f>
        <v>80</v>
      </c>
      <c r="N49" s="73">
        <f>+D49+SUM(E49:M49)</f>
        <v>194.622</v>
      </c>
      <c r="O49" s="88">
        <f t="shared" si="15"/>
        <v>-0.1127573442258246</v>
      </c>
    </row>
    <row r="50" spans="1:15" ht="12.75">
      <c r="A50" s="2" t="s">
        <v>82</v>
      </c>
      <c r="B50" s="38">
        <v>0.04</v>
      </c>
      <c r="C50" s="39"/>
      <c r="D50" s="12">
        <f>B50+C50</f>
        <v>0.04</v>
      </c>
      <c r="E50" s="39"/>
      <c r="F50" s="15"/>
      <c r="G50" s="15"/>
      <c r="H50" s="39"/>
      <c r="I50" s="15"/>
      <c r="J50" s="39"/>
      <c r="K50" s="15"/>
      <c r="L50" s="39"/>
      <c r="M50" s="15"/>
      <c r="N50" s="73">
        <f>+D50+SUM(E50:M50)</f>
        <v>0.04</v>
      </c>
      <c r="O50" s="88">
        <f t="shared" si="15"/>
        <v>0</v>
      </c>
    </row>
    <row r="51" spans="1:15" ht="12.75">
      <c r="A51" s="2" t="s">
        <v>37</v>
      </c>
      <c r="B51" s="38">
        <v>-55.423</v>
      </c>
      <c r="C51" s="39">
        <v>4.706</v>
      </c>
      <c r="D51" s="12">
        <f>B51+C51</f>
        <v>-50.717</v>
      </c>
      <c r="E51" s="39">
        <v>3.976</v>
      </c>
      <c r="F51" s="15"/>
      <c r="G51" s="15"/>
      <c r="H51" s="39">
        <f>55</f>
        <v>55</v>
      </c>
      <c r="I51" s="15"/>
      <c r="J51" s="39"/>
      <c r="K51" s="15"/>
      <c r="L51" s="39">
        <v>-55</v>
      </c>
      <c r="M51" s="15">
        <v>100</v>
      </c>
      <c r="N51" s="73">
        <f>+D51+SUM(E51:M51)</f>
        <v>53.259</v>
      </c>
      <c r="O51" s="88">
        <f t="shared" si="15"/>
        <v>-1.9609548382440503</v>
      </c>
    </row>
    <row r="52" spans="1:15" ht="12.75">
      <c r="A52" s="2" t="s">
        <v>38</v>
      </c>
      <c r="B52" s="38">
        <v>4.587</v>
      </c>
      <c r="C52" s="39">
        <v>108.889</v>
      </c>
      <c r="D52" s="12">
        <f>B52+C52</f>
        <v>113.476</v>
      </c>
      <c r="E52" s="39">
        <v>6.427</v>
      </c>
      <c r="F52" s="15"/>
      <c r="G52" s="15"/>
      <c r="H52" s="39"/>
      <c r="I52" s="15"/>
      <c r="J52" s="39"/>
      <c r="K52" s="15"/>
      <c r="L52" s="39"/>
      <c r="M52" s="15"/>
      <c r="N52" s="73">
        <f>+D52+SUM(E52:M52)</f>
        <v>119.90299999999999</v>
      </c>
      <c r="O52" s="88">
        <f t="shared" si="15"/>
        <v>25.139742751253543</v>
      </c>
    </row>
    <row r="53" spans="1:15" ht="12.75">
      <c r="A53" s="20" t="s">
        <v>83</v>
      </c>
      <c r="B53" s="38">
        <v>124.406</v>
      </c>
      <c r="C53" s="39">
        <v>-66.746</v>
      </c>
      <c r="D53" s="12">
        <f>B53+C53</f>
        <v>57.66000000000001</v>
      </c>
      <c r="E53" s="39">
        <v>18.851</v>
      </c>
      <c r="F53" s="15"/>
      <c r="G53" s="15"/>
      <c r="H53" s="39">
        <v>70</v>
      </c>
      <c r="I53" s="15">
        <v>-2</v>
      </c>
      <c r="J53" s="39">
        <v>-10</v>
      </c>
      <c r="K53" s="15"/>
      <c r="L53" s="39"/>
      <c r="M53" s="15">
        <v>25</v>
      </c>
      <c r="N53" s="73">
        <f>+D53+SUM(E53:M53)</f>
        <v>159.51100000000002</v>
      </c>
      <c r="O53" s="88">
        <f t="shared" si="15"/>
        <v>0.28218092374965853</v>
      </c>
    </row>
    <row r="54" spans="1:15" ht="12.75">
      <c r="A54" s="6"/>
      <c r="B54" s="74"/>
      <c r="C54" s="41"/>
      <c r="D54" s="16"/>
      <c r="E54" s="41"/>
      <c r="F54" s="17"/>
      <c r="G54" s="17"/>
      <c r="H54" s="41"/>
      <c r="I54" s="17"/>
      <c r="J54" s="41"/>
      <c r="K54" s="17"/>
      <c r="L54" s="41"/>
      <c r="M54" s="17"/>
      <c r="N54" s="74"/>
      <c r="O54" s="86"/>
    </row>
    <row r="55" spans="1:15" ht="12.75">
      <c r="A55" s="5" t="s">
        <v>40</v>
      </c>
      <c r="B55" s="32">
        <f aca="true" t="shared" si="16" ref="B55:M55">+SUM(B56:B61)</f>
        <v>352.012</v>
      </c>
      <c r="C55" s="34">
        <f>+SUM(C56:C61)</f>
        <v>-0.6699999999999999</v>
      </c>
      <c r="D55" s="9">
        <f>+SUM(D56:D61)</f>
        <v>351.342</v>
      </c>
      <c r="E55" s="34">
        <f>+SUM(E56:E61)</f>
        <v>41.027</v>
      </c>
      <c r="F55" s="11">
        <f>+SUM(F56:F61)</f>
        <v>0</v>
      </c>
      <c r="G55" s="11">
        <f t="shared" si="16"/>
        <v>0</v>
      </c>
      <c r="H55" s="34">
        <f t="shared" si="16"/>
        <v>50</v>
      </c>
      <c r="I55" s="11">
        <f t="shared" si="16"/>
        <v>-3</v>
      </c>
      <c r="J55" s="34">
        <f t="shared" si="16"/>
        <v>0</v>
      </c>
      <c r="K55" s="11">
        <f t="shared" si="16"/>
        <v>-5</v>
      </c>
      <c r="L55" s="34">
        <f t="shared" si="16"/>
        <v>0</v>
      </c>
      <c r="M55" s="11">
        <f t="shared" si="16"/>
        <v>0</v>
      </c>
      <c r="N55" s="32">
        <f>+SUM(N56:N61)</f>
        <v>434.36899999999997</v>
      </c>
      <c r="O55" s="87">
        <f>+(N55-B55)/B55</f>
        <v>0.23396077406452045</v>
      </c>
    </row>
    <row r="56" spans="1:15" ht="12.75">
      <c r="A56" s="3" t="s">
        <v>1</v>
      </c>
      <c r="B56" s="38">
        <v>2.104</v>
      </c>
      <c r="C56" s="39">
        <v>0.29</v>
      </c>
      <c r="D56" s="12">
        <f aca="true" t="shared" si="17" ref="D56:D61">B56+C56</f>
        <v>2.394</v>
      </c>
      <c r="E56" s="39">
        <v>4.052</v>
      </c>
      <c r="F56" s="15"/>
      <c r="G56" s="15"/>
      <c r="H56" s="39"/>
      <c r="I56" s="15">
        <v>-3</v>
      </c>
      <c r="J56" s="39"/>
      <c r="K56" s="15"/>
      <c r="L56" s="39"/>
      <c r="M56" s="15"/>
      <c r="N56" s="73">
        <f aca="true" t="shared" si="18" ref="N56:N61">+D56+SUM(E56:M56)</f>
        <v>3.4459999999999997</v>
      </c>
      <c r="O56" s="88">
        <f aca="true" t="shared" si="19" ref="O56:O61">+(N56-B56)/B56</f>
        <v>0.6378326996197716</v>
      </c>
    </row>
    <row r="57" spans="1:15" ht="12.75">
      <c r="A57" s="3" t="s">
        <v>2</v>
      </c>
      <c r="B57" s="38">
        <v>215.981</v>
      </c>
      <c r="C57" s="39"/>
      <c r="D57" s="12">
        <f t="shared" si="17"/>
        <v>215.981</v>
      </c>
      <c r="E57" s="39">
        <v>2.731</v>
      </c>
      <c r="F57" s="15"/>
      <c r="G57" s="15"/>
      <c r="H57" s="39"/>
      <c r="I57" s="15"/>
      <c r="J57" s="39"/>
      <c r="K57" s="15"/>
      <c r="L57" s="39"/>
      <c r="M57" s="15"/>
      <c r="N57" s="73">
        <f t="shared" si="18"/>
        <v>218.712</v>
      </c>
      <c r="O57" s="88">
        <f t="shared" si="19"/>
        <v>0.012644630777707274</v>
      </c>
    </row>
    <row r="58" spans="1:15" ht="12.75">
      <c r="A58" s="3" t="s">
        <v>48</v>
      </c>
      <c r="B58" s="38">
        <v>118.984</v>
      </c>
      <c r="C58" s="39"/>
      <c r="D58" s="12">
        <f t="shared" si="17"/>
        <v>118.984</v>
      </c>
      <c r="E58" s="39">
        <v>16.937</v>
      </c>
      <c r="F58" s="15"/>
      <c r="G58" s="15"/>
      <c r="H58" s="39">
        <v>50</v>
      </c>
      <c r="I58" s="15"/>
      <c r="J58" s="39"/>
      <c r="K58" s="15">
        <v>-5</v>
      </c>
      <c r="L58" s="39"/>
      <c r="M58" s="15"/>
      <c r="N58" s="73">
        <f t="shared" si="18"/>
        <v>180.921</v>
      </c>
      <c r="O58" s="88">
        <f>+(N58-B58)/B58</f>
        <v>0.5205489813756472</v>
      </c>
    </row>
    <row r="59" spans="1:15" ht="12.75">
      <c r="A59" s="3" t="s">
        <v>49</v>
      </c>
      <c r="B59" s="38">
        <v>2.7</v>
      </c>
      <c r="C59" s="39">
        <v>-0.098</v>
      </c>
      <c r="D59" s="12">
        <f t="shared" si="17"/>
        <v>2.6020000000000003</v>
      </c>
      <c r="E59" s="39">
        <v>1.862</v>
      </c>
      <c r="F59" s="15"/>
      <c r="G59" s="15"/>
      <c r="H59" s="39"/>
      <c r="I59" s="15"/>
      <c r="J59" s="39"/>
      <c r="K59" s="15"/>
      <c r="L59" s="39"/>
      <c r="M59" s="15"/>
      <c r="N59" s="73">
        <f t="shared" si="18"/>
        <v>4.464</v>
      </c>
      <c r="O59" s="88">
        <f t="shared" si="19"/>
        <v>0.6533333333333334</v>
      </c>
    </row>
    <row r="60" spans="1:15" ht="12.75">
      <c r="A60" s="3" t="s">
        <v>50</v>
      </c>
      <c r="B60" s="38">
        <v>0.29</v>
      </c>
      <c r="C60" s="39">
        <v>-0.29</v>
      </c>
      <c r="D60" s="12">
        <f t="shared" si="17"/>
        <v>0</v>
      </c>
      <c r="E60" s="39"/>
      <c r="F60" s="15"/>
      <c r="G60" s="15"/>
      <c r="H60" s="39"/>
      <c r="I60" s="15"/>
      <c r="J60" s="39"/>
      <c r="K60" s="15"/>
      <c r="L60" s="39"/>
      <c r="M60" s="15"/>
      <c r="N60" s="73">
        <f t="shared" si="18"/>
        <v>0</v>
      </c>
      <c r="O60" s="88">
        <f t="shared" si="19"/>
        <v>-1</v>
      </c>
    </row>
    <row r="61" spans="1:15" ht="12.75">
      <c r="A61" s="3" t="s">
        <v>51</v>
      </c>
      <c r="B61" s="38">
        <v>11.953</v>
      </c>
      <c r="C61" s="39">
        <v>-0.572</v>
      </c>
      <c r="D61" s="12">
        <f t="shared" si="17"/>
        <v>11.381</v>
      </c>
      <c r="E61" s="39">
        <v>15.445</v>
      </c>
      <c r="F61" s="15"/>
      <c r="G61" s="15"/>
      <c r="H61" s="39"/>
      <c r="I61" s="15"/>
      <c r="J61" s="39"/>
      <c r="K61" s="15"/>
      <c r="L61" s="39"/>
      <c r="M61" s="15"/>
      <c r="N61" s="73">
        <f t="shared" si="18"/>
        <v>26.826</v>
      </c>
      <c r="O61" s="88">
        <f t="shared" si="19"/>
        <v>1.2442901363674392</v>
      </c>
    </row>
    <row r="62" spans="1:15" ht="12.75">
      <c r="A62" s="20"/>
      <c r="B62" s="73"/>
      <c r="C62" s="36"/>
      <c r="D62" s="12"/>
      <c r="E62" s="36"/>
      <c r="F62" s="13"/>
      <c r="G62" s="13"/>
      <c r="H62" s="36"/>
      <c r="I62" s="13"/>
      <c r="J62" s="36"/>
      <c r="K62" s="13"/>
      <c r="L62" s="36"/>
      <c r="M62" s="13"/>
      <c r="N62" s="73"/>
      <c r="O62" s="86"/>
    </row>
    <row r="63" spans="1:15" s="31" customFormat="1" ht="15.75">
      <c r="A63" s="52" t="s">
        <v>85</v>
      </c>
      <c r="B63" s="72">
        <f aca="true" t="shared" si="20" ref="B63:N63">+B65+B72+B86+B98</f>
        <v>14493.37</v>
      </c>
      <c r="C63" s="30">
        <f t="shared" si="20"/>
        <v>-338.16800000000006</v>
      </c>
      <c r="D63" s="25">
        <f t="shared" si="20"/>
        <v>14155.202000000001</v>
      </c>
      <c r="E63" s="26">
        <f t="shared" si="20"/>
        <v>412.063</v>
      </c>
      <c r="F63" s="26">
        <f t="shared" si="20"/>
        <v>0</v>
      </c>
      <c r="G63" s="26">
        <f t="shared" si="20"/>
        <v>158</v>
      </c>
      <c r="H63" s="26">
        <f t="shared" si="20"/>
        <v>422</v>
      </c>
      <c r="I63" s="26">
        <f t="shared" si="20"/>
        <v>-390</v>
      </c>
      <c r="J63" s="26">
        <f t="shared" si="20"/>
        <v>-42</v>
      </c>
      <c r="K63" s="26">
        <f t="shared" si="20"/>
        <v>-640</v>
      </c>
      <c r="L63" s="26">
        <f t="shared" si="20"/>
        <v>-156</v>
      </c>
      <c r="M63" s="30">
        <f t="shared" si="20"/>
        <v>220</v>
      </c>
      <c r="N63" s="25">
        <f t="shared" si="20"/>
        <v>14139.264999999998</v>
      </c>
      <c r="O63" s="85">
        <f>+(N63-B63)/B63</f>
        <v>-0.024432205898283366</v>
      </c>
    </row>
    <row r="64" spans="1:15" ht="12.75">
      <c r="A64" s="6"/>
      <c r="B64" s="74"/>
      <c r="C64" s="41"/>
      <c r="D64" s="16"/>
      <c r="E64" s="41"/>
      <c r="F64" s="17"/>
      <c r="G64" s="17"/>
      <c r="H64" s="41"/>
      <c r="I64" s="17"/>
      <c r="J64" s="41"/>
      <c r="K64" s="17"/>
      <c r="L64" s="41"/>
      <c r="M64" s="17"/>
      <c r="N64" s="74"/>
      <c r="O64" s="86"/>
    </row>
    <row r="65" spans="1:15" ht="12.75">
      <c r="A65" s="5" t="s">
        <v>46</v>
      </c>
      <c r="B65" s="32">
        <f aca="true" t="shared" si="21" ref="B65:N65">+SUM(B66:B70)</f>
        <v>2961.9349999999995</v>
      </c>
      <c r="C65" s="33">
        <f t="shared" si="21"/>
        <v>-4.650999999999982</v>
      </c>
      <c r="D65" s="9">
        <f t="shared" si="21"/>
        <v>2957.284</v>
      </c>
      <c r="E65" s="33">
        <f t="shared" si="21"/>
        <v>73.348</v>
      </c>
      <c r="F65" s="10">
        <f t="shared" si="21"/>
        <v>0</v>
      </c>
      <c r="G65" s="10">
        <f t="shared" si="21"/>
        <v>0</v>
      </c>
      <c r="H65" s="33">
        <f t="shared" si="21"/>
        <v>10</v>
      </c>
      <c r="I65" s="10">
        <f t="shared" si="21"/>
        <v>-84</v>
      </c>
      <c r="J65" s="33">
        <f t="shared" si="21"/>
        <v>-20</v>
      </c>
      <c r="K65" s="10">
        <f t="shared" si="21"/>
        <v>-52</v>
      </c>
      <c r="L65" s="33">
        <f t="shared" si="21"/>
        <v>-16</v>
      </c>
      <c r="M65" s="10">
        <f t="shared" si="21"/>
        <v>-34</v>
      </c>
      <c r="N65" s="32">
        <f t="shared" si="21"/>
        <v>2834.6319999999996</v>
      </c>
      <c r="O65" s="87">
        <f aca="true" t="shared" si="22" ref="O65:O70">+(N65-B65)/B65</f>
        <v>-0.04297967376056527</v>
      </c>
    </row>
    <row r="66" spans="1:15" ht="12.75">
      <c r="A66" s="2" t="s">
        <v>96</v>
      </c>
      <c r="B66" s="38">
        <v>629.319</v>
      </c>
      <c r="C66" s="39">
        <v>196.244</v>
      </c>
      <c r="D66" s="12">
        <f>B66+C66</f>
        <v>825.563</v>
      </c>
      <c r="E66" s="39">
        <v>24.667</v>
      </c>
      <c r="F66" s="15"/>
      <c r="G66" s="15"/>
      <c r="H66" s="39">
        <v>10</v>
      </c>
      <c r="I66" s="15">
        <v>-30</v>
      </c>
      <c r="J66" s="39">
        <v>-20</v>
      </c>
      <c r="K66" s="15">
        <v>-15</v>
      </c>
      <c r="L66" s="39"/>
      <c r="M66" s="15">
        <v>2</v>
      </c>
      <c r="N66" s="73">
        <f>+D66+SUM(E66:M66)</f>
        <v>797.23</v>
      </c>
      <c r="O66" s="88">
        <f t="shared" si="22"/>
        <v>0.26681380984842357</v>
      </c>
    </row>
    <row r="67" spans="1:15" ht="12.75">
      <c r="A67" s="2" t="s">
        <v>47</v>
      </c>
      <c r="B67" s="38">
        <v>604.803</v>
      </c>
      <c r="C67" s="39">
        <v>28.977</v>
      </c>
      <c r="D67" s="12">
        <f>B67+C67</f>
        <v>633.78</v>
      </c>
      <c r="E67" s="39">
        <v>10.137</v>
      </c>
      <c r="F67" s="15"/>
      <c r="G67" s="15"/>
      <c r="H67" s="39"/>
      <c r="I67" s="15"/>
      <c r="J67" s="39"/>
      <c r="K67" s="15"/>
      <c r="L67" s="39"/>
      <c r="M67" s="15">
        <f>-36</f>
        <v>-36</v>
      </c>
      <c r="N67" s="73">
        <f>+D67+SUM(E67:M67)</f>
        <v>607.9169999999999</v>
      </c>
      <c r="O67" s="88">
        <f t="shared" si="22"/>
        <v>0.005148783984206293</v>
      </c>
    </row>
    <row r="68" spans="1:15" ht="12.75">
      <c r="A68" s="2" t="s">
        <v>97</v>
      </c>
      <c r="B68" s="38">
        <v>1423.202</v>
      </c>
      <c r="C68" s="39">
        <v>-356.558</v>
      </c>
      <c r="D68" s="12">
        <f>B68+C68</f>
        <v>1066.644</v>
      </c>
      <c r="E68" s="39">
        <v>34.453</v>
      </c>
      <c r="F68" s="15"/>
      <c r="G68" s="15"/>
      <c r="H68" s="39"/>
      <c r="I68" s="15"/>
      <c r="J68" s="39"/>
      <c r="K68" s="15">
        <f>-25+-10+-2</f>
        <v>-37</v>
      </c>
      <c r="L68" s="39">
        <v>-16</v>
      </c>
      <c r="M68" s="15"/>
      <c r="N68" s="73">
        <f>+D68+SUM(E68:M68)</f>
        <v>1048.097</v>
      </c>
      <c r="O68" s="88">
        <f t="shared" si="22"/>
        <v>-0.26356413214708807</v>
      </c>
    </row>
    <row r="69" spans="1:15" ht="12.75">
      <c r="A69" s="2" t="s">
        <v>105</v>
      </c>
      <c r="B69" s="38">
        <v>88.557</v>
      </c>
      <c r="C69" s="39">
        <v>126.686</v>
      </c>
      <c r="D69" s="12">
        <f>B69+C69</f>
        <v>215.243</v>
      </c>
      <c r="E69" s="39">
        <v>4.091</v>
      </c>
      <c r="F69" s="15"/>
      <c r="G69" s="15"/>
      <c r="H69" s="39"/>
      <c r="I69" s="15"/>
      <c r="J69" s="39"/>
      <c r="K69" s="15"/>
      <c r="L69" s="39"/>
      <c r="M69" s="15"/>
      <c r="N69" s="73">
        <f>+D69+SUM(E69:M69)</f>
        <v>219.334</v>
      </c>
      <c r="O69" s="88">
        <f>+(N69-B69)/B69</f>
        <v>1.47675508429599</v>
      </c>
    </row>
    <row r="70" spans="1:15" ht="12.75">
      <c r="A70" s="2" t="s">
        <v>98</v>
      </c>
      <c r="B70" s="38">
        <v>216.054</v>
      </c>
      <c r="C70" s="39">
        <v>0</v>
      </c>
      <c r="D70" s="12">
        <f>B70+C70</f>
        <v>216.054</v>
      </c>
      <c r="E70" s="39"/>
      <c r="F70" s="15"/>
      <c r="G70" s="15"/>
      <c r="H70" s="39"/>
      <c r="I70" s="15">
        <v>-54</v>
      </c>
      <c r="J70" s="39"/>
      <c r="K70" s="15"/>
      <c r="L70" s="39"/>
      <c r="M70" s="15"/>
      <c r="N70" s="73">
        <f>+D70+SUM(E70:M70)</f>
        <v>162.054</v>
      </c>
      <c r="O70" s="88">
        <f t="shared" si="22"/>
        <v>-0.24993751562109473</v>
      </c>
    </row>
    <row r="71" spans="1:15" ht="12.75">
      <c r="A71" s="6"/>
      <c r="B71" s="74"/>
      <c r="C71" s="41"/>
      <c r="D71" s="16"/>
      <c r="E71" s="41"/>
      <c r="F71" s="17"/>
      <c r="G71" s="17"/>
      <c r="H71" s="41"/>
      <c r="I71" s="17"/>
      <c r="J71" s="41"/>
      <c r="K71" s="17"/>
      <c r="L71" s="41"/>
      <c r="M71" s="17"/>
      <c r="N71" s="74"/>
      <c r="O71" s="86"/>
    </row>
    <row r="72" spans="1:15" ht="12.75">
      <c r="A72" s="5" t="s">
        <v>73</v>
      </c>
      <c r="B72" s="32">
        <f>+SUM(B73:B84)</f>
        <v>2914.301000000001</v>
      </c>
      <c r="C72" s="33">
        <f>+SUM(C73:C84)</f>
        <v>-193.57000000000005</v>
      </c>
      <c r="D72" s="9">
        <f>+SUM(D73:D84)</f>
        <v>2720.731000000001</v>
      </c>
      <c r="E72" s="33">
        <f>+SUM(E73:E84)</f>
        <v>250.04</v>
      </c>
      <c r="F72" s="10">
        <f>+SUM(F73:F84)</f>
        <v>0</v>
      </c>
      <c r="G72" s="10">
        <f aca="true" t="shared" si="23" ref="G72:N72">+SUM(G73:G84)</f>
        <v>146</v>
      </c>
      <c r="H72" s="33">
        <f t="shared" si="23"/>
        <v>412</v>
      </c>
      <c r="I72" s="10">
        <f t="shared" si="23"/>
        <v>-240</v>
      </c>
      <c r="J72" s="33">
        <f t="shared" si="23"/>
        <v>-22</v>
      </c>
      <c r="K72" s="10">
        <f t="shared" si="23"/>
        <v>-512</v>
      </c>
      <c r="L72" s="33">
        <f t="shared" si="23"/>
        <v>0</v>
      </c>
      <c r="M72" s="10">
        <f t="shared" si="23"/>
        <v>125</v>
      </c>
      <c r="N72" s="32">
        <f t="shared" si="23"/>
        <v>2879.7709999999997</v>
      </c>
      <c r="O72" s="87">
        <f>+(N72-B72)/B72</f>
        <v>-0.011848467265392662</v>
      </c>
    </row>
    <row r="73" spans="1:15" ht="12.75">
      <c r="A73" s="21" t="s">
        <v>86</v>
      </c>
      <c r="B73" s="38">
        <v>-2514.73</v>
      </c>
      <c r="C73" s="39">
        <v>-10.41</v>
      </c>
      <c r="D73" s="12">
        <f aca="true" t="shared" si="24" ref="D73:D84">B73+C73</f>
        <v>-2525.14</v>
      </c>
      <c r="E73" s="39">
        <v>3.84</v>
      </c>
      <c r="F73" s="15"/>
      <c r="G73" s="15"/>
      <c r="H73" s="39"/>
      <c r="I73" s="15"/>
      <c r="J73" s="39"/>
      <c r="K73" s="15">
        <v>-77</v>
      </c>
      <c r="L73" s="39"/>
      <c r="M73" s="15"/>
      <c r="N73" s="73">
        <f aca="true" t="shared" si="25" ref="N73:N84">+D73+SUM(E73:M73)</f>
        <v>-2598.2999999999997</v>
      </c>
      <c r="O73" s="88">
        <f aca="true" t="shared" si="26" ref="O73:O83">+(N73-B73)/B73</f>
        <v>0.033232195901746794</v>
      </c>
    </row>
    <row r="74" spans="1:15" ht="12.75">
      <c r="A74" s="21" t="s">
        <v>87</v>
      </c>
      <c r="B74" s="38">
        <v>-111.204</v>
      </c>
      <c r="C74" s="39">
        <v>43.847</v>
      </c>
      <c r="D74" s="12">
        <f t="shared" si="24"/>
        <v>-67.357</v>
      </c>
      <c r="E74" s="39">
        <v>1.017</v>
      </c>
      <c r="F74" s="15"/>
      <c r="G74" s="15"/>
      <c r="H74" s="39"/>
      <c r="I74" s="15"/>
      <c r="J74" s="39"/>
      <c r="K74" s="15"/>
      <c r="L74" s="39"/>
      <c r="M74" s="15"/>
      <c r="N74" s="73">
        <f t="shared" si="25"/>
        <v>-66.34</v>
      </c>
      <c r="O74" s="88">
        <f t="shared" si="26"/>
        <v>-0.4034387252257112</v>
      </c>
    </row>
    <row r="75" spans="1:15" ht="12.75">
      <c r="A75" s="21" t="s">
        <v>20</v>
      </c>
      <c r="B75" s="38">
        <v>-3368.749</v>
      </c>
      <c r="C75" s="39">
        <v>18.642</v>
      </c>
      <c r="D75" s="12">
        <f t="shared" si="24"/>
        <v>-3350.107</v>
      </c>
      <c r="E75" s="39">
        <v>13.531</v>
      </c>
      <c r="F75" s="15"/>
      <c r="G75" s="15"/>
      <c r="H75" s="39">
        <v>-110</v>
      </c>
      <c r="I75" s="15"/>
      <c r="J75" s="39"/>
      <c r="K75" s="15">
        <f>-113+-50+-25</f>
        <v>-188</v>
      </c>
      <c r="L75" s="39"/>
      <c r="M75" s="15"/>
      <c r="N75" s="73">
        <f t="shared" si="25"/>
        <v>-3634.576</v>
      </c>
      <c r="O75" s="88">
        <f>+(N75-B75)/B75</f>
        <v>0.07890970802514531</v>
      </c>
    </row>
    <row r="76" spans="1:15" ht="12.75">
      <c r="A76" s="21" t="s">
        <v>21</v>
      </c>
      <c r="B76" s="38">
        <v>3283.395</v>
      </c>
      <c r="C76" s="39">
        <v>-103.641</v>
      </c>
      <c r="D76" s="12">
        <f t="shared" si="24"/>
        <v>3179.754</v>
      </c>
      <c r="E76" s="39">
        <v>47.377</v>
      </c>
      <c r="F76" s="15"/>
      <c r="G76" s="15"/>
      <c r="H76" s="39">
        <f>27+100+100</f>
        <v>227</v>
      </c>
      <c r="I76" s="15"/>
      <c r="J76" s="39"/>
      <c r="K76" s="15">
        <f>-16+-35</f>
        <v>-51</v>
      </c>
      <c r="L76" s="39"/>
      <c r="M76" s="15"/>
      <c r="N76" s="73">
        <f t="shared" si="25"/>
        <v>3403.131</v>
      </c>
      <c r="O76" s="88">
        <f t="shared" si="26"/>
        <v>0.03646713234319961</v>
      </c>
    </row>
    <row r="77" spans="1:15" ht="12.75">
      <c r="A77" s="21" t="s">
        <v>88</v>
      </c>
      <c r="B77" s="38">
        <v>-1337.925</v>
      </c>
      <c r="C77" s="39">
        <v>238.745</v>
      </c>
      <c r="D77" s="12">
        <f t="shared" si="24"/>
        <v>-1099.1799999999998</v>
      </c>
      <c r="E77" s="39">
        <v>7.182</v>
      </c>
      <c r="F77" s="15"/>
      <c r="G77" s="15"/>
      <c r="H77" s="39">
        <v>110</v>
      </c>
      <c r="I77" s="15">
        <f>-40+-20</f>
        <v>-60</v>
      </c>
      <c r="J77" s="39">
        <v>-22</v>
      </c>
      <c r="K77" s="15">
        <f>-66</f>
        <v>-66</v>
      </c>
      <c r="L77" s="39"/>
      <c r="M77" s="15"/>
      <c r="N77" s="73">
        <f t="shared" si="25"/>
        <v>-1129.9979999999998</v>
      </c>
      <c r="O77" s="88">
        <f t="shared" si="26"/>
        <v>-0.15541005661752352</v>
      </c>
    </row>
    <row r="78" spans="1:15" ht="12.75">
      <c r="A78" s="21" t="s">
        <v>66</v>
      </c>
      <c r="B78" s="38">
        <v>-107.373</v>
      </c>
      <c r="C78" s="39">
        <v>-19.477</v>
      </c>
      <c r="D78" s="12">
        <f t="shared" si="24"/>
        <v>-126.85000000000001</v>
      </c>
      <c r="E78" s="39">
        <v>21.908</v>
      </c>
      <c r="F78" s="15"/>
      <c r="G78" s="15">
        <v>12</v>
      </c>
      <c r="H78" s="39"/>
      <c r="I78" s="15"/>
      <c r="J78" s="39"/>
      <c r="K78" s="15">
        <v>-20</v>
      </c>
      <c r="L78" s="39"/>
      <c r="M78" s="15">
        <v>75</v>
      </c>
      <c r="N78" s="73">
        <f t="shared" si="25"/>
        <v>-37.94200000000001</v>
      </c>
      <c r="O78" s="88">
        <f t="shared" si="26"/>
        <v>-0.64663369748447</v>
      </c>
    </row>
    <row r="79" spans="1:15" ht="12.75">
      <c r="A79" s="21" t="s">
        <v>22</v>
      </c>
      <c r="B79" s="38">
        <v>4185.879</v>
      </c>
      <c r="C79" s="39">
        <v>-397.279</v>
      </c>
      <c r="D79" s="12">
        <f t="shared" si="24"/>
        <v>3788.6</v>
      </c>
      <c r="E79" s="39">
        <v>83.722</v>
      </c>
      <c r="F79" s="15"/>
      <c r="G79" s="15">
        <v>1</v>
      </c>
      <c r="H79" s="39"/>
      <c r="I79" s="15">
        <v>-25</v>
      </c>
      <c r="J79" s="39"/>
      <c r="K79" s="15">
        <v>-40</v>
      </c>
      <c r="L79" s="39"/>
      <c r="M79" s="15">
        <v>50</v>
      </c>
      <c r="N79" s="73">
        <f t="shared" si="25"/>
        <v>3858.322</v>
      </c>
      <c r="O79" s="88">
        <f t="shared" si="26"/>
        <v>-0.07825285919635991</v>
      </c>
    </row>
    <row r="80" spans="1:15" ht="12.75">
      <c r="A80" s="21" t="s">
        <v>65</v>
      </c>
      <c r="B80" s="38">
        <v>-213.15</v>
      </c>
      <c r="C80" s="39">
        <v>-43.613</v>
      </c>
      <c r="D80" s="12">
        <f t="shared" si="24"/>
        <v>-256.76300000000003</v>
      </c>
      <c r="E80" s="39">
        <v>19.655</v>
      </c>
      <c r="F80" s="15"/>
      <c r="G80" s="15">
        <v>39</v>
      </c>
      <c r="H80" s="39">
        <v>185</v>
      </c>
      <c r="I80" s="15"/>
      <c r="J80" s="39"/>
      <c r="K80" s="15">
        <f>-60+-10</f>
        <v>-70</v>
      </c>
      <c r="L80" s="39"/>
      <c r="M80" s="15"/>
      <c r="N80" s="73">
        <f t="shared" si="25"/>
        <v>-83.10800000000003</v>
      </c>
      <c r="O80" s="88">
        <f t="shared" si="26"/>
        <v>-0.610096176401595</v>
      </c>
    </row>
    <row r="81" spans="1:15" ht="12.75" customHeight="1">
      <c r="A81" s="21" t="s">
        <v>23</v>
      </c>
      <c r="B81" s="38">
        <v>-55.181</v>
      </c>
      <c r="C81" s="39">
        <v>0.01</v>
      </c>
      <c r="D81" s="12">
        <f t="shared" si="24"/>
        <v>-55.171</v>
      </c>
      <c r="E81" s="39">
        <v>1.75</v>
      </c>
      <c r="F81" s="15"/>
      <c r="G81" s="15"/>
      <c r="H81" s="39"/>
      <c r="I81" s="15"/>
      <c r="J81" s="39"/>
      <c r="K81" s="15"/>
      <c r="L81" s="39"/>
      <c r="M81" s="15"/>
      <c r="N81" s="73">
        <f t="shared" si="25"/>
        <v>-53.421</v>
      </c>
      <c r="O81" s="88">
        <f t="shared" si="26"/>
        <v>-0.03189503633497034</v>
      </c>
    </row>
    <row r="82" spans="1:15" ht="12.75" customHeight="1">
      <c r="A82" s="21" t="s">
        <v>89</v>
      </c>
      <c r="B82" s="38">
        <v>-190.283</v>
      </c>
      <c r="C82" s="39">
        <v>-47.81</v>
      </c>
      <c r="D82" s="12">
        <f t="shared" si="24"/>
        <v>-238.093</v>
      </c>
      <c r="E82" s="39">
        <v>19.172</v>
      </c>
      <c r="F82" s="15"/>
      <c r="G82" s="15"/>
      <c r="H82" s="39"/>
      <c r="I82" s="15"/>
      <c r="J82" s="39"/>
      <c r="K82" s="15"/>
      <c r="L82" s="39"/>
      <c r="M82" s="15"/>
      <c r="N82" s="73">
        <f t="shared" si="25"/>
        <v>-218.921</v>
      </c>
      <c r="O82" s="88">
        <f t="shared" si="26"/>
        <v>0.15050214680239438</v>
      </c>
    </row>
    <row r="83" spans="1:15" ht="12.75" customHeight="1">
      <c r="A83" s="21" t="s">
        <v>24</v>
      </c>
      <c r="B83" s="38">
        <v>2156.251</v>
      </c>
      <c r="C83" s="39">
        <v>146.67</v>
      </c>
      <c r="D83" s="12">
        <f t="shared" si="24"/>
        <v>2302.9210000000003</v>
      </c>
      <c r="E83" s="39">
        <v>30.748</v>
      </c>
      <c r="F83" s="15"/>
      <c r="G83" s="15"/>
      <c r="H83" s="39"/>
      <c r="I83" s="15"/>
      <c r="J83" s="39"/>
      <c r="K83" s="15"/>
      <c r="L83" s="39"/>
      <c r="M83" s="15"/>
      <c r="N83" s="73">
        <f t="shared" si="25"/>
        <v>2333.6690000000003</v>
      </c>
      <c r="O83" s="88">
        <f t="shared" si="26"/>
        <v>0.08228077343500367</v>
      </c>
    </row>
    <row r="84" spans="1:15" ht="12.75" customHeight="1">
      <c r="A84" s="21" t="s">
        <v>25</v>
      </c>
      <c r="B84" s="38">
        <v>1187.371</v>
      </c>
      <c r="C84" s="39">
        <v>-19.254</v>
      </c>
      <c r="D84" s="12">
        <f t="shared" si="24"/>
        <v>1168.1170000000002</v>
      </c>
      <c r="E84" s="39">
        <v>0.138</v>
      </c>
      <c r="F84" s="15"/>
      <c r="G84" s="15">
        <v>94</v>
      </c>
      <c r="H84" s="39"/>
      <c r="I84" s="15">
        <v>-155</v>
      </c>
      <c r="J84" s="39"/>
      <c r="K84" s="15"/>
      <c r="L84" s="39"/>
      <c r="M84" s="15"/>
      <c r="N84" s="73">
        <f t="shared" si="25"/>
        <v>1107.255</v>
      </c>
      <c r="O84" s="88">
        <f>+(N84-B84)/B84</f>
        <v>-0.0674734350089399</v>
      </c>
    </row>
    <row r="85" spans="1:15" ht="12.75">
      <c r="A85" s="6"/>
      <c r="B85" s="38"/>
      <c r="C85" s="39"/>
      <c r="D85" s="14"/>
      <c r="E85" s="39"/>
      <c r="F85" s="15"/>
      <c r="G85" s="15"/>
      <c r="H85" s="39"/>
      <c r="I85" s="15"/>
      <c r="J85" s="39"/>
      <c r="K85" s="15"/>
      <c r="L85" s="39"/>
      <c r="M85" s="15"/>
      <c r="N85" s="38"/>
      <c r="O85" s="89"/>
    </row>
    <row r="86" spans="1:15" ht="12.75">
      <c r="A86" s="7" t="s">
        <v>104</v>
      </c>
      <c r="B86" s="32">
        <f aca="true" t="shared" si="27" ref="B86:N86">+SUM(B87:B96)</f>
        <v>8201.559</v>
      </c>
      <c r="C86" s="34">
        <f t="shared" si="27"/>
        <v>-171.03000000000003</v>
      </c>
      <c r="D86" s="9">
        <f t="shared" si="27"/>
        <v>8030.529</v>
      </c>
      <c r="E86" s="11">
        <f t="shared" si="27"/>
        <v>67.14699999999999</v>
      </c>
      <c r="F86" s="11">
        <f t="shared" si="27"/>
        <v>0</v>
      </c>
      <c r="G86" s="11">
        <f t="shared" si="27"/>
        <v>12</v>
      </c>
      <c r="H86" s="11">
        <f t="shared" si="27"/>
        <v>0</v>
      </c>
      <c r="I86" s="11">
        <f t="shared" si="27"/>
        <v>-66</v>
      </c>
      <c r="J86" s="11">
        <f t="shared" si="27"/>
        <v>0</v>
      </c>
      <c r="K86" s="11">
        <f t="shared" si="27"/>
        <v>-60</v>
      </c>
      <c r="L86" s="11">
        <f t="shared" si="27"/>
        <v>-140</v>
      </c>
      <c r="M86" s="11">
        <f t="shared" si="27"/>
        <v>110</v>
      </c>
      <c r="N86" s="9">
        <f t="shared" si="27"/>
        <v>7953.6759999999995</v>
      </c>
      <c r="O86" s="87">
        <f>+(N86-B86)/B86</f>
        <v>-0.03022388792179631</v>
      </c>
    </row>
    <row r="87" spans="1:15" ht="12.75">
      <c r="A87" s="4" t="s">
        <v>55</v>
      </c>
      <c r="B87" s="38">
        <v>2034.297</v>
      </c>
      <c r="C87" s="39">
        <v>50.572</v>
      </c>
      <c r="D87" s="12">
        <f aca="true" t="shared" si="28" ref="D87:D95">B87+C87</f>
        <v>2084.869</v>
      </c>
      <c r="E87" s="39">
        <v>5.901</v>
      </c>
      <c r="F87" s="15"/>
      <c r="G87" s="15">
        <v>12</v>
      </c>
      <c r="H87" s="39"/>
      <c r="I87" s="15">
        <f>36+-77</f>
        <v>-41</v>
      </c>
      <c r="J87" s="39"/>
      <c r="K87" s="15"/>
      <c r="L87" s="39"/>
      <c r="M87" s="15"/>
      <c r="N87" s="73">
        <f aca="true" t="shared" si="29" ref="N87:N95">+D87+SUM(E87:M87)</f>
        <v>2061.77</v>
      </c>
      <c r="O87" s="88">
        <f aca="true" t="shared" si="30" ref="O87:O95">+(N87-B87)/B87</f>
        <v>0.01350491103314804</v>
      </c>
    </row>
    <row r="88" spans="1:15" ht="12.75">
      <c r="A88" s="4" t="s">
        <v>72</v>
      </c>
      <c r="B88" s="38">
        <v>86.306</v>
      </c>
      <c r="C88" s="39">
        <v>0</v>
      </c>
      <c r="D88" s="12">
        <f t="shared" si="28"/>
        <v>86.306</v>
      </c>
      <c r="E88" s="39">
        <v>4.454</v>
      </c>
      <c r="F88" s="15"/>
      <c r="G88" s="15"/>
      <c r="H88" s="39"/>
      <c r="I88" s="15"/>
      <c r="J88" s="39"/>
      <c r="K88" s="15"/>
      <c r="L88" s="39"/>
      <c r="M88" s="15"/>
      <c r="N88" s="73">
        <f t="shared" si="29"/>
        <v>90.75999999999999</v>
      </c>
      <c r="O88" s="88">
        <f t="shared" si="30"/>
        <v>0.05160707250944307</v>
      </c>
    </row>
    <row r="89" spans="1:15" ht="12.75">
      <c r="A89" s="4" t="s">
        <v>56</v>
      </c>
      <c r="B89" s="38">
        <v>189.419</v>
      </c>
      <c r="C89" s="39">
        <v>20.906</v>
      </c>
      <c r="D89" s="12">
        <f t="shared" si="28"/>
        <v>210.32500000000002</v>
      </c>
      <c r="E89" s="39">
        <v>5.743</v>
      </c>
      <c r="F89" s="15"/>
      <c r="G89" s="15"/>
      <c r="H89" s="39"/>
      <c r="I89" s="15"/>
      <c r="J89" s="39"/>
      <c r="K89" s="15">
        <v>-4</v>
      </c>
      <c r="L89" s="39"/>
      <c r="M89" s="15"/>
      <c r="N89" s="73">
        <f t="shared" si="29"/>
        <v>212.068</v>
      </c>
      <c r="O89" s="88">
        <f t="shared" si="30"/>
        <v>0.11957089837872653</v>
      </c>
    </row>
    <row r="90" spans="1:15" ht="12.75">
      <c r="A90" s="4" t="s">
        <v>57</v>
      </c>
      <c r="B90" s="38">
        <v>23.952</v>
      </c>
      <c r="C90" s="39">
        <v>0.717</v>
      </c>
      <c r="D90" s="12">
        <f t="shared" si="28"/>
        <v>24.669</v>
      </c>
      <c r="E90" s="39"/>
      <c r="F90" s="15"/>
      <c r="G90" s="15"/>
      <c r="H90" s="39"/>
      <c r="I90" s="15"/>
      <c r="J90" s="39"/>
      <c r="K90" s="15"/>
      <c r="L90" s="39"/>
      <c r="M90" s="15"/>
      <c r="N90" s="73">
        <f t="shared" si="29"/>
        <v>24.669</v>
      </c>
      <c r="O90" s="88">
        <f t="shared" si="30"/>
        <v>0.029934869739478905</v>
      </c>
    </row>
    <row r="91" spans="1:15" ht="12.75">
      <c r="A91" s="4" t="s">
        <v>58</v>
      </c>
      <c r="B91" s="38">
        <v>78.684</v>
      </c>
      <c r="C91" s="39">
        <v>-13.902</v>
      </c>
      <c r="D91" s="12">
        <f t="shared" si="28"/>
        <v>64.782</v>
      </c>
      <c r="E91" s="39">
        <v>4.861</v>
      </c>
      <c r="F91" s="15"/>
      <c r="G91" s="15"/>
      <c r="H91" s="39"/>
      <c r="I91" s="15"/>
      <c r="J91" s="39"/>
      <c r="K91" s="15"/>
      <c r="L91" s="39"/>
      <c r="M91" s="15"/>
      <c r="N91" s="73">
        <f t="shared" si="29"/>
        <v>69.643</v>
      </c>
      <c r="O91" s="88">
        <f t="shared" si="30"/>
        <v>-0.11490264856895935</v>
      </c>
    </row>
    <row r="92" spans="1:15" ht="12.75">
      <c r="A92" s="4" t="s">
        <v>59</v>
      </c>
      <c r="B92" s="38">
        <v>155.916</v>
      </c>
      <c r="C92" s="39">
        <v>-1.638</v>
      </c>
      <c r="D92" s="12">
        <f t="shared" si="28"/>
        <v>154.278</v>
      </c>
      <c r="E92" s="39">
        <v>1.242</v>
      </c>
      <c r="F92" s="15"/>
      <c r="G92" s="15"/>
      <c r="H92" s="39"/>
      <c r="I92" s="15"/>
      <c r="J92" s="39"/>
      <c r="K92" s="15">
        <v>-10</v>
      </c>
      <c r="L92" s="39"/>
      <c r="M92" s="15"/>
      <c r="N92" s="73">
        <f t="shared" si="29"/>
        <v>145.51999999999998</v>
      </c>
      <c r="O92" s="88">
        <f t="shared" si="30"/>
        <v>-0.06667692860258097</v>
      </c>
    </row>
    <row r="93" spans="1:15" ht="12.75">
      <c r="A93" s="4" t="s">
        <v>60</v>
      </c>
      <c r="B93" s="38">
        <v>2122.468</v>
      </c>
      <c r="C93" s="39">
        <v>-244.907</v>
      </c>
      <c r="D93" s="12">
        <f t="shared" si="28"/>
        <v>1877.561</v>
      </c>
      <c r="E93" s="39">
        <v>22.944</v>
      </c>
      <c r="F93" s="15"/>
      <c r="G93" s="15"/>
      <c r="H93" s="39"/>
      <c r="I93" s="15">
        <f>-10</f>
        <v>-10</v>
      </c>
      <c r="J93" s="39"/>
      <c r="K93" s="15">
        <f>-5+-15+-10+-10+-6</f>
        <v>-46</v>
      </c>
      <c r="L93" s="39">
        <v>-30</v>
      </c>
      <c r="M93" s="15"/>
      <c r="N93" s="73">
        <f t="shared" si="29"/>
        <v>1814.5049999999999</v>
      </c>
      <c r="O93" s="88">
        <f t="shared" si="30"/>
        <v>-0.14509665163385266</v>
      </c>
    </row>
    <row r="94" spans="1:16" ht="12.75">
      <c r="A94" s="4" t="s">
        <v>90</v>
      </c>
      <c r="B94" s="38">
        <v>384.422</v>
      </c>
      <c r="C94" s="39">
        <v>53.866</v>
      </c>
      <c r="D94" s="104">
        <f t="shared" si="28"/>
        <v>438.288</v>
      </c>
      <c r="E94" s="103">
        <v>5.239</v>
      </c>
      <c r="F94" s="103"/>
      <c r="G94" s="103"/>
      <c r="H94" s="103"/>
      <c r="I94" s="103"/>
      <c r="J94" s="103"/>
      <c r="K94" s="103"/>
      <c r="L94" s="103"/>
      <c r="M94" s="103"/>
      <c r="N94" s="104">
        <f t="shared" si="29"/>
        <v>443.527</v>
      </c>
      <c r="O94" s="88">
        <f t="shared" si="30"/>
        <v>0.15375030565368256</v>
      </c>
      <c r="P94" s="105"/>
    </row>
    <row r="95" spans="1:15" ht="12.75">
      <c r="A95" s="3" t="s">
        <v>16</v>
      </c>
      <c r="B95" s="38">
        <f>2682.405+-2.567</f>
        <v>2679.838</v>
      </c>
      <c r="C95" s="39">
        <v>16.139</v>
      </c>
      <c r="D95" s="12">
        <f t="shared" si="28"/>
        <v>2695.9770000000003</v>
      </c>
      <c r="E95" s="39">
        <v>12.684</v>
      </c>
      <c r="F95" s="15"/>
      <c r="G95" s="15"/>
      <c r="H95" s="39"/>
      <c r="I95" s="15">
        <f>-10</f>
        <v>-10</v>
      </c>
      <c r="J95" s="39"/>
      <c r="K95" s="15"/>
      <c r="L95" s="39">
        <v>-110</v>
      </c>
      <c r="M95" s="15">
        <f>50+60</f>
        <v>110</v>
      </c>
      <c r="N95" s="73">
        <f t="shared" si="29"/>
        <v>2698.6610000000005</v>
      </c>
      <c r="O95" s="88">
        <f t="shared" si="30"/>
        <v>0.007023932043653504</v>
      </c>
    </row>
    <row r="96" spans="1:15" ht="12.75">
      <c r="A96" s="3" t="s">
        <v>99</v>
      </c>
      <c r="B96" s="38">
        <v>446.257</v>
      </c>
      <c r="C96" s="39">
        <v>-52.783</v>
      </c>
      <c r="D96" s="12">
        <f>B96+C96</f>
        <v>393.474</v>
      </c>
      <c r="E96" s="39">
        <v>4.079</v>
      </c>
      <c r="F96" s="15"/>
      <c r="G96" s="15"/>
      <c r="H96" s="39"/>
      <c r="I96" s="15">
        <v>-5</v>
      </c>
      <c r="J96" s="39"/>
      <c r="K96" s="15"/>
      <c r="L96" s="39"/>
      <c r="M96" s="15"/>
      <c r="N96" s="73">
        <f>+D96+SUM(E96:M96)</f>
        <v>392.553</v>
      </c>
      <c r="O96" s="88">
        <f>+(N96-B96)/B96</f>
        <v>-0.1203432103025835</v>
      </c>
    </row>
    <row r="97" spans="1:15" ht="12.75">
      <c r="A97" s="7"/>
      <c r="B97" s="74"/>
      <c r="C97" s="41"/>
      <c r="D97" s="16"/>
      <c r="E97" s="41"/>
      <c r="F97" s="17"/>
      <c r="G97" s="17"/>
      <c r="H97" s="41"/>
      <c r="I97" s="17"/>
      <c r="J97" s="41"/>
      <c r="K97" s="15"/>
      <c r="L97" s="39"/>
      <c r="M97" s="15"/>
      <c r="N97" s="74"/>
      <c r="O97" s="86"/>
    </row>
    <row r="98" spans="1:15" ht="12.75" customHeight="1">
      <c r="A98" s="5" t="s">
        <v>70</v>
      </c>
      <c r="B98" s="32">
        <f aca="true" t="shared" si="31" ref="B98:N98">+SUM(B99:B101)</f>
        <v>415.575</v>
      </c>
      <c r="C98" s="33">
        <f t="shared" si="31"/>
        <v>31.083000000000006</v>
      </c>
      <c r="D98" s="9">
        <f>+SUM(D99:D101)</f>
        <v>446.658</v>
      </c>
      <c r="E98" s="33">
        <f t="shared" si="31"/>
        <v>21.528</v>
      </c>
      <c r="F98" s="10">
        <f t="shared" si="31"/>
        <v>0</v>
      </c>
      <c r="G98" s="10">
        <f t="shared" si="31"/>
        <v>0</v>
      </c>
      <c r="H98" s="33">
        <f t="shared" si="31"/>
        <v>0</v>
      </c>
      <c r="I98" s="10">
        <f t="shared" si="31"/>
        <v>0</v>
      </c>
      <c r="J98" s="33">
        <f t="shared" si="31"/>
        <v>0</v>
      </c>
      <c r="K98" s="10">
        <f t="shared" si="31"/>
        <v>-16</v>
      </c>
      <c r="L98" s="33">
        <f t="shared" si="31"/>
        <v>0</v>
      </c>
      <c r="M98" s="10">
        <f t="shared" si="31"/>
        <v>19</v>
      </c>
      <c r="N98" s="32">
        <f t="shared" si="31"/>
        <v>471.186</v>
      </c>
      <c r="O98" s="87">
        <f>+(N98-B98)/B98</f>
        <v>0.13381700054141848</v>
      </c>
    </row>
    <row r="99" spans="1:15" ht="12.75">
      <c r="A99" s="20" t="s">
        <v>14</v>
      </c>
      <c r="B99" s="38">
        <v>34.179</v>
      </c>
      <c r="C99" s="43">
        <v>-48.537</v>
      </c>
      <c r="D99" s="12">
        <f>B99+C99</f>
        <v>-14.357999999999997</v>
      </c>
      <c r="E99" s="43">
        <v>6.621</v>
      </c>
      <c r="F99" s="23"/>
      <c r="G99" s="23"/>
      <c r="H99" s="43"/>
      <c r="I99" s="23"/>
      <c r="J99" s="43"/>
      <c r="K99" s="23">
        <f>-9</f>
        <v>-9</v>
      </c>
      <c r="L99" s="43"/>
      <c r="M99" s="23"/>
      <c r="N99" s="73">
        <f>+D99+SUM(E99:M99)</f>
        <v>-16.736999999999995</v>
      </c>
      <c r="O99" s="88">
        <f>+(N99-B99)/B99</f>
        <v>-1.4896866496971823</v>
      </c>
    </row>
    <row r="100" spans="1:15" ht="12.75">
      <c r="A100" s="20" t="s">
        <v>52</v>
      </c>
      <c r="B100" s="38">
        <v>354.043</v>
      </c>
      <c r="C100" s="43">
        <v>79.62</v>
      </c>
      <c r="D100" s="12">
        <f>B100+C100</f>
        <v>433.663</v>
      </c>
      <c r="E100" s="43">
        <v>10.276</v>
      </c>
      <c r="F100" s="23"/>
      <c r="G100" s="23"/>
      <c r="H100" s="43"/>
      <c r="I100" s="23"/>
      <c r="J100" s="43"/>
      <c r="K100" s="23">
        <f>-2+-4+-1</f>
        <v>-7</v>
      </c>
      <c r="L100" s="43"/>
      <c r="M100" s="23">
        <v>5</v>
      </c>
      <c r="N100" s="73">
        <f>+D100+SUM(E100:M100)</f>
        <v>441.939</v>
      </c>
      <c r="O100" s="88">
        <f>+(N100-B100)/B100</f>
        <v>0.24826362899421825</v>
      </c>
    </row>
    <row r="101" spans="1:15" ht="12.75">
      <c r="A101" s="20" t="s">
        <v>15</v>
      </c>
      <c r="B101" s="38">
        <v>27.353</v>
      </c>
      <c r="C101" s="43">
        <v>0</v>
      </c>
      <c r="D101" s="12">
        <f>B101+C101</f>
        <v>27.353</v>
      </c>
      <c r="E101" s="43">
        <v>4.631</v>
      </c>
      <c r="F101" s="23"/>
      <c r="G101" s="23"/>
      <c r="H101" s="43"/>
      <c r="I101" s="23"/>
      <c r="J101" s="43"/>
      <c r="K101" s="23"/>
      <c r="L101" s="43"/>
      <c r="M101" s="23">
        <f>-10+24</f>
        <v>14</v>
      </c>
      <c r="N101" s="73">
        <f>+D101+SUM(E101:M101)</f>
        <v>45.984</v>
      </c>
      <c r="O101" s="88">
        <f>+(N101-B101)/B101</f>
        <v>0.6811318685336161</v>
      </c>
    </row>
    <row r="102" spans="1:15" ht="12.75">
      <c r="A102" s="5"/>
      <c r="B102" s="73"/>
      <c r="C102" s="36"/>
      <c r="D102" s="12"/>
      <c r="E102" s="36"/>
      <c r="F102" s="13"/>
      <c r="G102" s="13"/>
      <c r="H102" s="36"/>
      <c r="I102" s="13"/>
      <c r="J102" s="36"/>
      <c r="K102" s="13"/>
      <c r="L102" s="36"/>
      <c r="M102" s="13"/>
      <c r="N102" s="73"/>
      <c r="O102" s="86"/>
    </row>
    <row r="103" spans="1:15" s="31" customFormat="1" ht="41.25" customHeight="1">
      <c r="A103" s="59" t="s">
        <v>71</v>
      </c>
      <c r="B103" s="83">
        <f aca="true" t="shared" si="32" ref="B103:N103">+B5+B25+B63</f>
        <v>19897.213</v>
      </c>
      <c r="C103" s="60">
        <f t="shared" si="32"/>
        <v>264.7899999999998</v>
      </c>
      <c r="D103" s="64">
        <f>+D5+D25+D63</f>
        <v>20162.003</v>
      </c>
      <c r="E103" s="60">
        <f t="shared" si="32"/>
        <v>761.8109999999999</v>
      </c>
      <c r="F103" s="63">
        <f t="shared" si="32"/>
        <v>0</v>
      </c>
      <c r="G103" s="63">
        <f t="shared" si="32"/>
        <v>249</v>
      </c>
      <c r="H103" s="60">
        <f t="shared" si="32"/>
        <v>814</v>
      </c>
      <c r="I103" s="63">
        <f t="shared" si="32"/>
        <v>-704</v>
      </c>
      <c r="J103" s="60">
        <f t="shared" si="32"/>
        <v>-7</v>
      </c>
      <c r="K103" s="63">
        <f t="shared" si="32"/>
        <v>-1192</v>
      </c>
      <c r="L103" s="63">
        <f t="shared" si="32"/>
        <v>-224</v>
      </c>
      <c r="M103" s="63">
        <f t="shared" si="32"/>
        <v>960</v>
      </c>
      <c r="N103" s="83">
        <f t="shared" si="32"/>
        <v>20819.814</v>
      </c>
      <c r="O103" s="90">
        <f>+(N103-B103)/B103</f>
        <v>0.04636835319599779</v>
      </c>
    </row>
    <row r="104" spans="1:14" ht="12.75">
      <c r="A104" s="44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</row>
    <row r="105" spans="1:15" ht="15.75" hidden="1" outlineLevel="1">
      <c r="A105" s="75" t="s">
        <v>3</v>
      </c>
      <c r="B105" s="38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46"/>
    </row>
    <row r="106" spans="1:15" ht="12.75" hidden="1" outlineLevel="1">
      <c r="A106" s="76" t="s">
        <v>10</v>
      </c>
      <c r="B106" s="38">
        <v>2793.399</v>
      </c>
      <c r="C106" s="24">
        <f>52.238+-632</f>
        <v>-579.762</v>
      </c>
      <c r="D106" s="77">
        <f>B106+C106</f>
        <v>2213.6369999999997</v>
      </c>
      <c r="E106" s="24">
        <f>1534.982-2793-761.811</f>
        <v>-2019.8290000000002</v>
      </c>
      <c r="F106" s="24"/>
      <c r="G106" s="24"/>
      <c r="H106" s="24"/>
      <c r="I106" s="24"/>
      <c r="J106" s="24"/>
      <c r="K106" s="24"/>
      <c r="L106" s="24"/>
      <c r="M106" s="24"/>
      <c r="N106" s="77">
        <f>+D106+SUM(E106:M106)</f>
        <v>193.80799999999954</v>
      </c>
      <c r="O106" s="37"/>
    </row>
    <row r="107" spans="1:15" ht="12.75" hidden="1" outlineLevel="1">
      <c r="A107" s="76"/>
      <c r="B107" s="38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77"/>
      <c r="O107" s="46"/>
    </row>
    <row r="108" spans="1:15" ht="12.75" hidden="1" outlineLevel="1">
      <c r="A108" s="76" t="s">
        <v>4</v>
      </c>
      <c r="B108" s="38">
        <v>2336.166</v>
      </c>
      <c r="C108" s="24">
        <f>-1007+1322.069</f>
        <v>315.06899999999996</v>
      </c>
      <c r="D108" s="77">
        <f>B108+C108</f>
        <v>2651.235</v>
      </c>
      <c r="E108" s="112">
        <f>2694.583-2336-1</f>
        <v>357.5830000000001</v>
      </c>
      <c r="F108" s="24"/>
      <c r="G108" s="24"/>
      <c r="H108" s="24"/>
      <c r="I108" s="24"/>
      <c r="J108" s="24"/>
      <c r="K108" s="24"/>
      <c r="L108" s="24"/>
      <c r="M108" s="24"/>
      <c r="N108" s="77">
        <f>+D108+SUM(E108:M108)</f>
        <v>3008.818</v>
      </c>
      <c r="O108" s="37"/>
    </row>
    <row r="109" spans="1:15" ht="15" hidden="1" outlineLevel="1">
      <c r="A109" s="78"/>
      <c r="B109" s="38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46"/>
    </row>
    <row r="110" spans="1:15" ht="15.75" hidden="1" outlineLevel="1">
      <c r="A110" s="75" t="s">
        <v>13</v>
      </c>
      <c r="B110" s="32">
        <f aca="true" t="shared" si="33" ref="B110:M110">+SUM(B103:B109)</f>
        <v>25026.778000000002</v>
      </c>
      <c r="C110" s="47">
        <f>+SUM(C103:C109)</f>
        <v>0.09699999999980946</v>
      </c>
      <c r="D110" s="47">
        <f t="shared" si="33"/>
        <v>25026.875</v>
      </c>
      <c r="E110" s="47">
        <f t="shared" si="33"/>
        <v>-900.4350000000002</v>
      </c>
      <c r="F110" s="47">
        <f t="shared" si="33"/>
        <v>0</v>
      </c>
      <c r="G110" s="47">
        <f t="shared" si="33"/>
        <v>249</v>
      </c>
      <c r="H110" s="47">
        <f t="shared" si="33"/>
        <v>814</v>
      </c>
      <c r="I110" s="47">
        <f t="shared" si="33"/>
        <v>-704</v>
      </c>
      <c r="J110" s="47">
        <f t="shared" si="33"/>
        <v>-7</v>
      </c>
      <c r="K110" s="47">
        <f t="shared" si="33"/>
        <v>-1192</v>
      </c>
      <c r="L110" s="47">
        <f t="shared" si="33"/>
        <v>-224</v>
      </c>
      <c r="M110" s="47">
        <f t="shared" si="33"/>
        <v>960</v>
      </c>
      <c r="N110" s="47">
        <f>+SUM(N103:N109)</f>
        <v>24022.44</v>
      </c>
      <c r="O110" s="37"/>
    </row>
    <row r="111" spans="1:15" ht="15" hidden="1" outlineLevel="1">
      <c r="A111" s="78"/>
      <c r="B111" s="38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46"/>
    </row>
    <row r="112" spans="1:15" ht="12.75" hidden="1" outlineLevel="1">
      <c r="A112" s="79" t="s">
        <v>5</v>
      </c>
      <c r="B112" s="38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46"/>
    </row>
    <row r="113" spans="1:15" ht="12.75" hidden="1" outlineLevel="1">
      <c r="A113" s="76" t="s">
        <v>6</v>
      </c>
      <c r="B113" s="38">
        <v>0</v>
      </c>
      <c r="C113" s="24"/>
      <c r="D113" s="77">
        <f>B113+C113</f>
        <v>0</v>
      </c>
      <c r="E113" s="24">
        <v>0</v>
      </c>
      <c r="F113" s="24"/>
      <c r="G113" s="24"/>
      <c r="H113" s="24"/>
      <c r="I113" s="24"/>
      <c r="J113" s="24"/>
      <c r="K113" s="24"/>
      <c r="L113" s="24"/>
      <c r="M113" s="24"/>
      <c r="N113" s="77">
        <f>+D113+SUM(E113:M113)</f>
        <v>0</v>
      </c>
      <c r="O113" s="37"/>
    </row>
    <row r="114" spans="1:15" ht="15" hidden="1" outlineLevel="1">
      <c r="A114" s="78"/>
      <c r="B114" s="38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46"/>
    </row>
    <row r="115" spans="1:15" ht="15.75" hidden="1" outlineLevel="1">
      <c r="A115" s="75" t="s">
        <v>7</v>
      </c>
      <c r="B115" s="32">
        <f>+SUM(B110,B113)</f>
        <v>25026.778000000002</v>
      </c>
      <c r="C115" s="47">
        <f>+SUM(C110,C113)</f>
        <v>0.09699999999980946</v>
      </c>
      <c r="D115" s="47">
        <f>+SUM(D110,D113)</f>
        <v>25026.875</v>
      </c>
      <c r="E115" s="47">
        <f aca="true" t="shared" si="34" ref="E115:M115">+SUM(E110,E113)</f>
        <v>-900.4350000000002</v>
      </c>
      <c r="F115" s="47">
        <f t="shared" si="34"/>
        <v>0</v>
      </c>
      <c r="G115" s="47">
        <f t="shared" si="34"/>
        <v>249</v>
      </c>
      <c r="H115" s="47">
        <f t="shared" si="34"/>
        <v>814</v>
      </c>
      <c r="I115" s="47">
        <f t="shared" si="34"/>
        <v>-704</v>
      </c>
      <c r="J115" s="47">
        <f t="shared" si="34"/>
        <v>-7</v>
      </c>
      <c r="K115" s="47">
        <f t="shared" si="34"/>
        <v>-1192</v>
      </c>
      <c r="L115" s="47">
        <f t="shared" si="34"/>
        <v>-224</v>
      </c>
      <c r="M115" s="47">
        <f t="shared" si="34"/>
        <v>960</v>
      </c>
      <c r="N115" s="47">
        <f>+SUM(N110,N113)</f>
        <v>24022.44</v>
      </c>
      <c r="O115" s="48"/>
    </row>
    <row r="116" spans="1:15" ht="15" hidden="1" outlineLevel="1">
      <c r="A116" s="78"/>
      <c r="B116" s="38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46"/>
    </row>
    <row r="117" spans="1:15" ht="15" hidden="1" outlineLevel="1">
      <c r="A117" s="78"/>
      <c r="B117" s="38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46"/>
    </row>
    <row r="118" spans="1:15" ht="15.75" hidden="1" outlineLevel="1">
      <c r="A118" s="75" t="s">
        <v>8</v>
      </c>
      <c r="B118" s="32">
        <f>+SUM(B119:B123)</f>
        <v>-25026.850000000002</v>
      </c>
      <c r="C118" s="47">
        <f>+SUM(C119:C123)</f>
        <v>0</v>
      </c>
      <c r="D118" s="47">
        <f>+SUM(D119:D123)</f>
        <v>-25026.850000000002</v>
      </c>
      <c r="E118" s="47">
        <f>+SUM(E119:E123)</f>
        <v>1003.9770000000008</v>
      </c>
      <c r="F118" s="47">
        <f aca="true" t="shared" si="35" ref="F118:N118">+SUM(F119:F123)</f>
        <v>0</v>
      </c>
      <c r="G118" s="47">
        <f t="shared" si="35"/>
        <v>0</v>
      </c>
      <c r="H118" s="47">
        <f t="shared" si="35"/>
        <v>0</v>
      </c>
      <c r="I118" s="47">
        <f t="shared" si="35"/>
        <v>0</v>
      </c>
      <c r="J118" s="47">
        <f t="shared" si="35"/>
        <v>0</v>
      </c>
      <c r="K118" s="47">
        <f t="shared" si="35"/>
        <v>0</v>
      </c>
      <c r="L118" s="47">
        <f t="shared" si="35"/>
        <v>0</v>
      </c>
      <c r="M118" s="47">
        <f t="shared" si="35"/>
        <v>0</v>
      </c>
      <c r="N118" s="47">
        <f t="shared" si="35"/>
        <v>-24022.873</v>
      </c>
      <c r="O118" s="37"/>
    </row>
    <row r="119" spans="1:15" ht="12.75" hidden="1" outlineLevel="1">
      <c r="A119" s="76" t="s">
        <v>108</v>
      </c>
      <c r="B119" s="38">
        <v>-8219</v>
      </c>
      <c r="C119" s="24"/>
      <c r="D119" s="77">
        <f>B119+C119</f>
        <v>-8219</v>
      </c>
      <c r="E119" s="24">
        <f>-6339--8219</f>
        <v>1880</v>
      </c>
      <c r="F119" s="24"/>
      <c r="G119" s="24"/>
      <c r="H119" s="24"/>
      <c r="I119" s="24"/>
      <c r="J119" s="24"/>
      <c r="K119" s="24"/>
      <c r="L119" s="24"/>
      <c r="M119" s="24"/>
      <c r="N119" s="77">
        <f>+D119+SUM(E119:M119)</f>
        <v>-6339</v>
      </c>
      <c r="O119" s="37"/>
    </row>
    <row r="120" spans="1:15" ht="12.75" hidden="1" outlineLevel="1">
      <c r="A120" s="76" t="s">
        <v>109</v>
      </c>
      <c r="B120" s="38">
        <v>-5660.952</v>
      </c>
      <c r="C120" s="24"/>
      <c r="D120" s="77">
        <f>B120+C120</f>
        <v>-5660.952</v>
      </c>
      <c r="E120" s="24">
        <f>-6114.284--5661</f>
        <v>-453.28399999999965</v>
      </c>
      <c r="F120" s="24"/>
      <c r="G120" s="24"/>
      <c r="H120" s="24"/>
      <c r="I120" s="24"/>
      <c r="J120" s="24"/>
      <c r="K120" s="24"/>
      <c r="L120" s="24"/>
      <c r="M120" s="24"/>
      <c r="N120" s="77">
        <f>+D120+SUM(E120:M120)</f>
        <v>-6114.236</v>
      </c>
      <c r="O120" s="37"/>
    </row>
    <row r="121" spans="1:15" ht="12.75" hidden="1" outlineLevel="1">
      <c r="A121" s="80" t="s">
        <v>110</v>
      </c>
      <c r="B121" s="38">
        <v>-11228.07</v>
      </c>
      <c r="C121" s="24"/>
      <c r="D121" s="77">
        <f>B121+C121</f>
        <v>-11228.07</v>
      </c>
      <c r="E121" s="24">
        <f>-11518.739--11228</f>
        <v>-290.7389999999996</v>
      </c>
      <c r="F121" s="24"/>
      <c r="G121" s="24"/>
      <c r="H121" s="24"/>
      <c r="I121" s="24"/>
      <c r="J121" s="24"/>
      <c r="K121" s="24"/>
      <c r="L121" s="24"/>
      <c r="M121" s="24"/>
      <c r="N121" s="77">
        <f>+D121+SUM(E121:M121)</f>
        <v>-11518.809</v>
      </c>
      <c r="O121" s="37"/>
    </row>
    <row r="122" spans="1:15" ht="12.75" hidden="1" outlineLevel="1">
      <c r="A122" s="80" t="s">
        <v>111</v>
      </c>
      <c r="B122" s="38">
        <v>154.172</v>
      </c>
      <c r="C122" s="24"/>
      <c r="D122" s="77">
        <f>B122+C122</f>
        <v>154.172</v>
      </c>
      <c r="E122" s="24">
        <f>154.172-D122</f>
        <v>0</v>
      </c>
      <c r="F122" s="24"/>
      <c r="G122" s="24"/>
      <c r="H122" s="24"/>
      <c r="I122" s="24"/>
      <c r="J122" s="24"/>
      <c r="K122" s="24"/>
      <c r="L122" s="24"/>
      <c r="M122" s="24"/>
      <c r="N122" s="77">
        <f>+D122+SUM(E122:M122)</f>
        <v>154.172</v>
      </c>
      <c r="O122" s="37"/>
    </row>
    <row r="123" spans="1:15" ht="12.75" hidden="1" outlineLevel="1">
      <c r="A123" s="80" t="s">
        <v>112</v>
      </c>
      <c r="B123" s="38">
        <v>-73</v>
      </c>
      <c r="C123" s="24"/>
      <c r="D123" s="77">
        <f>B123+C123</f>
        <v>-73</v>
      </c>
      <c r="E123" s="24">
        <f>-205--73</f>
        <v>-132</v>
      </c>
      <c r="F123" s="24"/>
      <c r="G123" s="24"/>
      <c r="H123" s="24"/>
      <c r="I123" s="24"/>
      <c r="J123" s="24"/>
      <c r="K123" s="24"/>
      <c r="L123" s="24"/>
      <c r="M123" s="24"/>
      <c r="N123" s="77">
        <f>+D123+SUM(E123:M123)</f>
        <v>-205</v>
      </c>
      <c r="O123" s="37"/>
    </row>
    <row r="124" spans="1:15" ht="12.75" hidden="1" outlineLevel="1">
      <c r="A124" s="76"/>
      <c r="B124" s="38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46"/>
    </row>
    <row r="125" spans="1:15" ht="12.75" hidden="1" outlineLevel="1">
      <c r="A125" s="76" t="s">
        <v>9</v>
      </c>
      <c r="B125" s="38">
        <f>+SUM(B118,B115)</f>
        <v>-0.07200000000011642</v>
      </c>
      <c r="C125" s="24">
        <f>+SUM(C118,C115)</f>
        <v>0.09699999999980946</v>
      </c>
      <c r="D125" s="24">
        <f>+SUM(D118,D115)</f>
        <v>0.024999999997817213</v>
      </c>
      <c r="E125" s="24">
        <f aca="true" t="shared" si="36" ref="E125:N125">+SUM(E118,E115)</f>
        <v>103.5420000000006</v>
      </c>
      <c r="F125" s="24">
        <f t="shared" si="36"/>
        <v>0</v>
      </c>
      <c r="G125" s="24">
        <f t="shared" si="36"/>
        <v>249</v>
      </c>
      <c r="H125" s="24">
        <f t="shared" si="36"/>
        <v>814</v>
      </c>
      <c r="I125" s="24">
        <f t="shared" si="36"/>
        <v>-704</v>
      </c>
      <c r="J125" s="24">
        <f t="shared" si="36"/>
        <v>-7</v>
      </c>
      <c r="K125" s="24">
        <f t="shared" si="36"/>
        <v>-1192</v>
      </c>
      <c r="L125" s="24">
        <f t="shared" si="36"/>
        <v>-224</v>
      </c>
      <c r="M125" s="24">
        <f t="shared" si="36"/>
        <v>960</v>
      </c>
      <c r="N125" s="24">
        <f t="shared" si="36"/>
        <v>-0.4330000000009022</v>
      </c>
      <c r="O125" s="37"/>
    </row>
    <row r="126" ht="12.75" collapsed="1"/>
    <row r="127" spans="5:14" ht="12.75">
      <c r="E127" s="41"/>
      <c r="N127" s="41"/>
    </row>
    <row r="129" ht="12.75">
      <c r="N129" s="41"/>
    </row>
  </sheetData>
  <sheetProtection/>
  <autoFilter ref="A4:O103"/>
  <mergeCells count="1">
    <mergeCell ref="A1:O1"/>
  </mergeCells>
  <conditionalFormatting sqref="O102 O97 O85 O71 O62 O64 O54 O26 O24 O19 O3:O4 O6 O13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6299212598425197" header="0.31496062992125984" footer="0.1968503937007874"/>
  <pageSetup fitToHeight="0" fitToWidth="1" horizontalDpi="600" verticalDpi="600" orientation="landscape" paperSize="9" scale="55" r:id="rId1"/>
  <headerFooter alignWithMargins="0">
    <oddHeader>&amp;R&amp;16Appendix 2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9"/>
  <sheetViews>
    <sheetView tabSelected="1" zoomScale="70" zoomScaleNormal="70" zoomScalePageLayoutView="0" workbookViewId="0" topLeftCell="A1">
      <pane xSplit="1" ySplit="4" topLeftCell="B5" activePane="bottomRight" state="frozen"/>
      <selection pane="topLeft" activeCell="A70" sqref="A70"/>
      <selection pane="topRight" activeCell="A70" sqref="A70"/>
      <selection pane="bottomLeft" activeCell="A70" sqref="A70"/>
      <selection pane="bottomRight" activeCell="M103" sqref="A3:M103"/>
    </sheetView>
  </sheetViews>
  <sheetFormatPr defaultColWidth="9.140625" defaultRowHeight="12.75" outlineLevelRow="1"/>
  <cols>
    <col min="1" max="1" width="44.00390625" style="40" customWidth="1"/>
    <col min="2" max="2" width="17.00390625" style="29" customWidth="1"/>
    <col min="3" max="3" width="15.28125" style="29" bestFit="1" customWidth="1"/>
    <col min="4" max="4" width="16.7109375" style="29" hidden="1" customWidth="1"/>
    <col min="5" max="5" width="14.7109375" style="29" customWidth="1"/>
    <col min="6" max="9" width="12.7109375" style="29" customWidth="1"/>
    <col min="10" max="11" width="14.140625" style="29" customWidth="1"/>
    <col min="12" max="12" width="17.140625" style="29" customWidth="1"/>
    <col min="13" max="13" width="11.7109375" style="27" customWidth="1"/>
    <col min="14" max="14" width="1.57421875" style="29" customWidth="1"/>
    <col min="15" max="16384" width="9.140625" style="29" customWidth="1"/>
  </cols>
  <sheetData>
    <row r="1" spans="1:13" ht="27.75">
      <c r="A1" s="113" t="s">
        <v>114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7.2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33.75" customHeight="1">
      <c r="A3" s="18"/>
      <c r="B3" s="1" t="s">
        <v>107</v>
      </c>
      <c r="C3" s="49" t="s">
        <v>11</v>
      </c>
      <c r="D3" s="97" t="s">
        <v>12</v>
      </c>
      <c r="E3" s="50" t="s">
        <v>34</v>
      </c>
      <c r="F3" s="62" t="s">
        <v>26</v>
      </c>
      <c r="G3" s="50" t="s">
        <v>27</v>
      </c>
      <c r="H3" s="62" t="s">
        <v>28</v>
      </c>
      <c r="I3" s="50" t="s">
        <v>29</v>
      </c>
      <c r="J3" s="62" t="s">
        <v>30</v>
      </c>
      <c r="K3" s="50" t="s">
        <v>74</v>
      </c>
      <c r="L3" s="1" t="s">
        <v>91</v>
      </c>
      <c r="M3" s="51" t="s">
        <v>69</v>
      </c>
    </row>
    <row r="4" spans="1:13" ht="13.5" customHeight="1">
      <c r="A4" s="8"/>
      <c r="B4" s="65" t="s">
        <v>54</v>
      </c>
      <c r="C4" s="66" t="s">
        <v>54</v>
      </c>
      <c r="D4" s="98"/>
      <c r="E4" s="66" t="s">
        <v>54</v>
      </c>
      <c r="F4" s="67" t="s">
        <v>54</v>
      </c>
      <c r="G4" s="66" t="s">
        <v>54</v>
      </c>
      <c r="H4" s="67" t="s">
        <v>54</v>
      </c>
      <c r="I4" s="66" t="s">
        <v>54</v>
      </c>
      <c r="J4" s="67" t="s">
        <v>54</v>
      </c>
      <c r="K4" s="66" t="s">
        <v>54</v>
      </c>
      <c r="L4" s="70" t="s">
        <v>54</v>
      </c>
      <c r="M4" s="69"/>
    </row>
    <row r="5" spans="1:13" s="31" customFormat="1" ht="15.75">
      <c r="A5" s="52" t="s">
        <v>41</v>
      </c>
      <c r="B5" s="25">
        <f>+B7+B14+B20</f>
        <v>492.02599999999984</v>
      </c>
      <c r="C5" s="30">
        <f>+C7+C14+C20</f>
        <v>0</v>
      </c>
      <c r="D5" s="26">
        <f>+D7+D14+D20</f>
        <v>0</v>
      </c>
      <c r="E5" s="30">
        <f aca="true" t="shared" si="0" ref="E5:K5">+E7+E14+E20</f>
        <v>0</v>
      </c>
      <c r="F5" s="26">
        <f t="shared" si="0"/>
        <v>43</v>
      </c>
      <c r="G5" s="30">
        <f t="shared" si="0"/>
        <v>-85</v>
      </c>
      <c r="H5" s="26">
        <f t="shared" si="0"/>
        <v>2</v>
      </c>
      <c r="I5" s="30">
        <f t="shared" si="0"/>
        <v>-65</v>
      </c>
      <c r="J5" s="26">
        <f t="shared" si="0"/>
        <v>-86</v>
      </c>
      <c r="K5" s="30">
        <f t="shared" si="0"/>
        <v>-275</v>
      </c>
      <c r="L5" s="25">
        <f>+L7+L14+L20</f>
        <v>26.02599999999984</v>
      </c>
      <c r="M5" s="53">
        <f>+(L5-B5)/B5</f>
        <v>-0.9471044213110692</v>
      </c>
    </row>
    <row r="6" spans="1:13" ht="12.75">
      <c r="A6" s="5"/>
      <c r="B6" s="9"/>
      <c r="C6" s="33"/>
      <c r="D6" s="10"/>
      <c r="E6" s="33"/>
      <c r="F6" s="10"/>
      <c r="G6" s="33"/>
      <c r="H6" s="10"/>
      <c r="I6" s="33"/>
      <c r="J6" s="10"/>
      <c r="K6" s="33"/>
      <c r="L6" s="9"/>
      <c r="M6" s="54"/>
    </row>
    <row r="7" spans="1:13" ht="12.75">
      <c r="A7" s="5" t="s">
        <v>42</v>
      </c>
      <c r="B7" s="9">
        <f aca="true" t="shared" si="1" ref="B7:K7">+SUM(B8:B12)</f>
        <v>1842.1580000000001</v>
      </c>
      <c r="C7" s="34">
        <f t="shared" si="1"/>
        <v>0</v>
      </c>
      <c r="D7" s="11">
        <f t="shared" si="1"/>
        <v>0</v>
      </c>
      <c r="E7" s="34">
        <f t="shared" si="1"/>
        <v>0</v>
      </c>
      <c r="F7" s="11">
        <f t="shared" si="1"/>
        <v>40</v>
      </c>
      <c r="G7" s="34">
        <f t="shared" si="1"/>
        <v>0</v>
      </c>
      <c r="H7" s="11">
        <f t="shared" si="1"/>
        <v>0</v>
      </c>
      <c r="I7" s="34">
        <f t="shared" si="1"/>
        <v>69</v>
      </c>
      <c r="J7" s="11">
        <f t="shared" si="1"/>
        <v>-86</v>
      </c>
      <c r="K7" s="34">
        <f t="shared" si="1"/>
        <v>-175</v>
      </c>
      <c r="L7" s="9">
        <f>+SUM(L8:L12)</f>
        <v>1690.1580000000001</v>
      </c>
      <c r="M7" s="55">
        <f aca="true" t="shared" si="2" ref="M7:M12">+(L7-B7)/B7</f>
        <v>-0.08251192351578963</v>
      </c>
    </row>
    <row r="8" spans="1:13" ht="12.75">
      <c r="A8" s="2" t="s">
        <v>43</v>
      </c>
      <c r="B8" s="12">
        <f>'2014-15'!N8</f>
        <v>13.831999999999999</v>
      </c>
      <c r="C8" s="36"/>
      <c r="D8" s="13"/>
      <c r="E8" s="36"/>
      <c r="F8" s="13"/>
      <c r="G8" s="36"/>
      <c r="H8" s="13"/>
      <c r="I8" s="36"/>
      <c r="J8" s="13">
        <v>-11</v>
      </c>
      <c r="K8" s="36"/>
      <c r="L8" s="12">
        <f>+B8+SUM(C8:K8)</f>
        <v>2.831999999999999</v>
      </c>
      <c r="M8" s="56">
        <f t="shared" si="2"/>
        <v>-0.7952573742047427</v>
      </c>
    </row>
    <row r="9" spans="1:13" ht="12.75">
      <c r="A9" s="2" t="s">
        <v>44</v>
      </c>
      <c r="B9" s="12">
        <f>'2014-15'!N9</f>
        <v>89.215</v>
      </c>
      <c r="C9" s="36"/>
      <c r="D9" s="13"/>
      <c r="E9" s="36"/>
      <c r="F9" s="13"/>
      <c r="G9" s="36"/>
      <c r="H9" s="13"/>
      <c r="I9" s="36">
        <f>-3+-3</f>
        <v>-6</v>
      </c>
      <c r="J9" s="13"/>
      <c r="K9" s="36"/>
      <c r="L9" s="12">
        <f>+B9+SUM(C9:K9)</f>
        <v>83.215</v>
      </c>
      <c r="M9" s="56">
        <f t="shared" si="2"/>
        <v>-0.06725326458555175</v>
      </c>
    </row>
    <row r="10" spans="1:13" ht="12.75">
      <c r="A10" s="2" t="s">
        <v>68</v>
      </c>
      <c r="B10" s="12">
        <f>'2014-15'!N10</f>
        <v>607.817</v>
      </c>
      <c r="C10" s="36"/>
      <c r="D10" s="13"/>
      <c r="E10" s="36"/>
      <c r="F10" s="13"/>
      <c r="G10" s="36"/>
      <c r="H10" s="13"/>
      <c r="I10" s="36"/>
      <c r="J10" s="13"/>
      <c r="K10" s="36"/>
      <c r="L10" s="12">
        <f>+B10+SUM(C10:K10)</f>
        <v>607.817</v>
      </c>
      <c r="M10" s="56">
        <f t="shared" si="2"/>
        <v>0</v>
      </c>
    </row>
    <row r="11" spans="1:13" ht="12.75">
      <c r="A11" s="2" t="s">
        <v>45</v>
      </c>
      <c r="B11" s="12">
        <f>'2014-15'!N11</f>
        <v>-28.173</v>
      </c>
      <c r="C11" s="36"/>
      <c r="D11" s="13"/>
      <c r="E11" s="36"/>
      <c r="F11" s="13"/>
      <c r="G11" s="36"/>
      <c r="H11" s="13"/>
      <c r="I11" s="36"/>
      <c r="J11" s="13"/>
      <c r="K11" s="36"/>
      <c r="L11" s="12">
        <f>+B11+SUM(C11:K11)</f>
        <v>-28.173</v>
      </c>
      <c r="M11" s="56">
        <f t="shared" si="2"/>
        <v>0</v>
      </c>
    </row>
    <row r="12" spans="1:13" ht="12.75">
      <c r="A12" s="2" t="s">
        <v>61</v>
      </c>
      <c r="B12" s="12">
        <f>'2014-15'!N12</f>
        <v>1159.467</v>
      </c>
      <c r="C12" s="36"/>
      <c r="D12" s="13"/>
      <c r="E12" s="36"/>
      <c r="F12" s="13">
        <v>40</v>
      </c>
      <c r="G12" s="36"/>
      <c r="H12" s="13"/>
      <c r="I12" s="36">
        <f>25+25+25</f>
        <v>75</v>
      </c>
      <c r="J12" s="13">
        <v>-75</v>
      </c>
      <c r="K12" s="36">
        <f>-25+-150</f>
        <v>-175</v>
      </c>
      <c r="L12" s="12">
        <f>+B12+SUM(C12:K12)</f>
        <v>1024.467</v>
      </c>
      <c r="M12" s="56">
        <f t="shared" si="2"/>
        <v>-0.11643280921319882</v>
      </c>
    </row>
    <row r="13" spans="1:13" ht="12.75">
      <c r="A13" s="5"/>
      <c r="B13" s="9"/>
      <c r="C13" s="33"/>
      <c r="D13" s="10"/>
      <c r="E13" s="33"/>
      <c r="F13" s="10"/>
      <c r="G13" s="33"/>
      <c r="H13" s="10"/>
      <c r="I13" s="33"/>
      <c r="J13" s="10"/>
      <c r="K13" s="33"/>
      <c r="L13" s="9"/>
      <c r="M13" s="54"/>
    </row>
    <row r="14" spans="1:13" ht="12.75">
      <c r="A14" s="7" t="s">
        <v>102</v>
      </c>
      <c r="B14" s="9">
        <f aca="true" t="shared" si="3" ref="B14:K14">+SUM(B15:B18)</f>
        <v>-5226.862</v>
      </c>
      <c r="C14" s="33">
        <f t="shared" si="3"/>
        <v>0</v>
      </c>
      <c r="D14" s="10">
        <f t="shared" si="3"/>
        <v>0</v>
      </c>
      <c r="E14" s="33">
        <f t="shared" si="3"/>
        <v>0</v>
      </c>
      <c r="F14" s="10">
        <f t="shared" si="3"/>
        <v>0</v>
      </c>
      <c r="G14" s="33">
        <f t="shared" si="3"/>
        <v>0</v>
      </c>
      <c r="H14" s="10">
        <f t="shared" si="3"/>
        <v>2</v>
      </c>
      <c r="I14" s="33">
        <f t="shared" si="3"/>
        <v>-34</v>
      </c>
      <c r="J14" s="10">
        <f t="shared" si="3"/>
        <v>0</v>
      </c>
      <c r="K14" s="33">
        <f t="shared" si="3"/>
        <v>-100</v>
      </c>
      <c r="L14" s="9">
        <f>+SUM(L15:L18)</f>
        <v>-5358.862</v>
      </c>
      <c r="M14" s="55">
        <f>+(L14-B14)/B14</f>
        <v>0.025254158231076313</v>
      </c>
    </row>
    <row r="15" spans="1:13" ht="12.75">
      <c r="A15" s="4" t="s">
        <v>62</v>
      </c>
      <c r="B15" s="12">
        <f>'2014-15'!N15</f>
        <v>-6487.113</v>
      </c>
      <c r="C15" s="39"/>
      <c r="D15" s="15"/>
      <c r="E15" s="39"/>
      <c r="F15" s="15"/>
      <c r="G15" s="39"/>
      <c r="H15" s="15">
        <v>2</v>
      </c>
      <c r="I15" s="39">
        <f>-12+-22</f>
        <v>-34</v>
      </c>
      <c r="J15" s="15"/>
      <c r="K15" s="39">
        <v>-100</v>
      </c>
      <c r="L15" s="12">
        <f>+B15+SUM(C15:K15)</f>
        <v>-6619.113</v>
      </c>
      <c r="M15" s="56">
        <f>+(L15-B15)/B15</f>
        <v>0.02034803463420477</v>
      </c>
    </row>
    <row r="16" spans="1:13" ht="12.75">
      <c r="A16" s="4" t="s">
        <v>63</v>
      </c>
      <c r="B16" s="12">
        <f>'2014-15'!N16</f>
        <v>487.539</v>
      </c>
      <c r="C16" s="39"/>
      <c r="D16" s="15"/>
      <c r="E16" s="39"/>
      <c r="F16" s="15"/>
      <c r="G16" s="39"/>
      <c r="H16" s="15"/>
      <c r="I16" s="39"/>
      <c r="J16" s="15"/>
      <c r="K16" s="39"/>
      <c r="L16" s="12">
        <f>+B16+SUM(C16:K16)</f>
        <v>487.539</v>
      </c>
      <c r="M16" s="56">
        <f>+(L16-B16)/B16</f>
        <v>0</v>
      </c>
    </row>
    <row r="17" spans="1:13" ht="12.75">
      <c r="A17" s="4" t="s">
        <v>64</v>
      </c>
      <c r="B17" s="12">
        <f>'2014-15'!N17</f>
        <v>306.045</v>
      </c>
      <c r="C17" s="39"/>
      <c r="D17" s="15"/>
      <c r="E17" s="39"/>
      <c r="F17" s="15"/>
      <c r="G17" s="39"/>
      <c r="H17" s="15"/>
      <c r="I17" s="39"/>
      <c r="J17" s="15"/>
      <c r="K17" s="39"/>
      <c r="L17" s="12">
        <f>+B17+SUM(C17:K17)</f>
        <v>306.045</v>
      </c>
      <c r="M17" s="56">
        <f>+(L17-B17)/B17</f>
        <v>0</v>
      </c>
    </row>
    <row r="18" spans="1:13" ht="12.75">
      <c r="A18" s="4" t="s">
        <v>68</v>
      </c>
      <c r="B18" s="12">
        <f>'2014-15'!N18</f>
        <v>466.66700000000003</v>
      </c>
      <c r="C18" s="39"/>
      <c r="D18" s="15"/>
      <c r="E18" s="39"/>
      <c r="F18" s="15"/>
      <c r="G18" s="39"/>
      <c r="H18" s="15"/>
      <c r="I18" s="39"/>
      <c r="J18" s="15"/>
      <c r="K18" s="39"/>
      <c r="L18" s="12">
        <f>+B18+SUM(C18:K18)</f>
        <v>466.66700000000003</v>
      </c>
      <c r="M18" s="56">
        <f>+(L18-B18)/B18</f>
        <v>0</v>
      </c>
    </row>
    <row r="19" spans="1:13" ht="12.75">
      <c r="A19" s="6"/>
      <c r="B19" s="9"/>
      <c r="C19" s="33"/>
      <c r="D19" s="10"/>
      <c r="E19" s="33"/>
      <c r="F19" s="10"/>
      <c r="G19" s="33"/>
      <c r="H19" s="10"/>
      <c r="I19" s="33"/>
      <c r="J19" s="10"/>
      <c r="K19" s="33"/>
      <c r="L19" s="9"/>
      <c r="M19" s="54"/>
    </row>
    <row r="20" spans="1:13" ht="12.75">
      <c r="A20" s="7" t="s">
        <v>103</v>
      </c>
      <c r="B20" s="9">
        <f>+SUM(B21:B23)</f>
        <v>3876.7299999999996</v>
      </c>
      <c r="C20" s="33">
        <f>+SUM(C21:C22)</f>
        <v>0</v>
      </c>
      <c r="D20" s="10">
        <f>+SUM(D21:D22)</f>
        <v>0</v>
      </c>
      <c r="E20" s="33">
        <f>+SUM(E21:E23)</f>
        <v>0</v>
      </c>
      <c r="F20" s="19">
        <f aca="true" t="shared" si="4" ref="F20:K20">+SUM(F21:F23)</f>
        <v>3</v>
      </c>
      <c r="G20" s="19">
        <f t="shared" si="4"/>
        <v>-85</v>
      </c>
      <c r="H20" s="19">
        <f t="shared" si="4"/>
        <v>0</v>
      </c>
      <c r="I20" s="19">
        <f t="shared" si="4"/>
        <v>-100</v>
      </c>
      <c r="J20" s="19">
        <f t="shared" si="4"/>
        <v>0</v>
      </c>
      <c r="K20" s="19">
        <f t="shared" si="4"/>
        <v>0</v>
      </c>
      <c r="L20" s="106">
        <f>+SUM(L21:L23)</f>
        <v>3694.7299999999996</v>
      </c>
      <c r="M20" s="55">
        <f>+(L20-B20)/B20</f>
        <v>-0.046946782468730096</v>
      </c>
    </row>
    <row r="21" spans="1:13" ht="12.75">
      <c r="A21" s="3" t="s">
        <v>17</v>
      </c>
      <c r="B21" s="12">
        <f>'2014-15'!N21</f>
        <v>649.0350000000001</v>
      </c>
      <c r="C21" s="39"/>
      <c r="D21" s="15"/>
      <c r="E21" s="39"/>
      <c r="F21" s="15"/>
      <c r="G21" s="39">
        <v>-5</v>
      </c>
      <c r="H21" s="15"/>
      <c r="I21" s="39"/>
      <c r="J21" s="15"/>
      <c r="K21" s="39"/>
      <c r="L21" s="12">
        <f>+B21+SUM(C21:K21)</f>
        <v>644.0350000000001</v>
      </c>
      <c r="M21" s="56">
        <f>+(L21-B21)/B21</f>
        <v>-0.007703744790342584</v>
      </c>
    </row>
    <row r="22" spans="1:13" ht="12.75">
      <c r="A22" s="3" t="s">
        <v>18</v>
      </c>
      <c r="B22" s="12">
        <f>'2014-15'!N22</f>
        <v>3756.107</v>
      </c>
      <c r="C22" s="39"/>
      <c r="D22" s="15"/>
      <c r="E22" s="39"/>
      <c r="F22" s="15"/>
      <c r="G22" s="39"/>
      <c r="H22" s="15"/>
      <c r="I22" s="39"/>
      <c r="J22" s="15"/>
      <c r="K22" s="39"/>
      <c r="L22" s="12">
        <f>+B22+SUM(C22:K22)</f>
        <v>3756.107</v>
      </c>
      <c r="M22" s="56">
        <f>+(L22-B22)/B22</f>
        <v>0</v>
      </c>
    </row>
    <row r="23" spans="1:13" ht="12.75">
      <c r="A23" s="3" t="s">
        <v>106</v>
      </c>
      <c r="B23" s="14">
        <f>'2014-15'!N23</f>
        <v>-528.412</v>
      </c>
      <c r="C23" s="33"/>
      <c r="D23" s="10"/>
      <c r="E23" s="33"/>
      <c r="F23" s="15">
        <v>3</v>
      </c>
      <c r="G23" s="39">
        <f>-50+-30</f>
        <v>-80</v>
      </c>
      <c r="H23" s="10"/>
      <c r="I23" s="39">
        <v>-100</v>
      </c>
      <c r="J23" s="10"/>
      <c r="K23" s="33"/>
      <c r="L23" s="12">
        <f>+B23+SUM(C23:K23)</f>
        <v>-705.412</v>
      </c>
      <c r="M23" s="56">
        <f>+(L23-B23)/B23</f>
        <v>0.3349658978221539</v>
      </c>
    </row>
    <row r="24" spans="1:13" s="31" customFormat="1" ht="15">
      <c r="A24" s="5"/>
      <c r="B24" s="9"/>
      <c r="C24" s="33"/>
      <c r="D24" s="10"/>
      <c r="E24" s="33"/>
      <c r="F24" s="10"/>
      <c r="G24" s="33"/>
      <c r="H24" s="10"/>
      <c r="I24" s="33"/>
      <c r="J24" s="10"/>
      <c r="K24" s="33"/>
      <c r="L24" s="9"/>
      <c r="M24" s="54"/>
    </row>
    <row r="25" spans="1:13" ht="31.5">
      <c r="A25" s="57" t="s">
        <v>75</v>
      </c>
      <c r="B25" s="25">
        <f aca="true" t="shared" si="5" ref="B25:L25">+B27+B34+B41+B48+B55</f>
        <v>6188.522999999999</v>
      </c>
      <c r="C25" s="30">
        <f t="shared" si="5"/>
        <v>0</v>
      </c>
      <c r="D25" s="26">
        <f t="shared" si="5"/>
        <v>0</v>
      </c>
      <c r="E25" s="30">
        <f t="shared" si="5"/>
        <v>25</v>
      </c>
      <c r="F25" s="26">
        <f t="shared" si="5"/>
        <v>-35</v>
      </c>
      <c r="G25" s="30">
        <f t="shared" si="5"/>
        <v>-759</v>
      </c>
      <c r="H25" s="26">
        <f t="shared" si="5"/>
        <v>38</v>
      </c>
      <c r="I25" s="30">
        <f t="shared" si="5"/>
        <v>-75</v>
      </c>
      <c r="J25" s="26">
        <f t="shared" si="5"/>
        <v>-28</v>
      </c>
      <c r="K25" s="30">
        <f t="shared" si="5"/>
        <v>35</v>
      </c>
      <c r="L25" s="25">
        <f t="shared" si="5"/>
        <v>5389.522999999999</v>
      </c>
      <c r="M25" s="53">
        <f>+(L25-B25)/B25</f>
        <v>-0.12910996695011073</v>
      </c>
    </row>
    <row r="26" spans="1:13" ht="12.75">
      <c r="A26" s="5"/>
      <c r="B26" s="9"/>
      <c r="C26" s="33"/>
      <c r="D26" s="10"/>
      <c r="E26" s="33"/>
      <c r="F26" s="10"/>
      <c r="G26" s="33"/>
      <c r="H26" s="10"/>
      <c r="I26" s="33"/>
      <c r="J26" s="10"/>
      <c r="K26" s="33"/>
      <c r="L26" s="12"/>
      <c r="M26" s="54"/>
    </row>
    <row r="27" spans="1:13" ht="12.75">
      <c r="A27" s="5" t="s">
        <v>31</v>
      </c>
      <c r="B27" s="9">
        <f aca="true" t="shared" si="6" ref="B27:L27">+SUM(B28:B32)</f>
        <v>264.52299999999997</v>
      </c>
      <c r="C27" s="34">
        <f t="shared" si="6"/>
        <v>0</v>
      </c>
      <c r="D27" s="11">
        <f t="shared" si="6"/>
        <v>0</v>
      </c>
      <c r="E27" s="34">
        <f t="shared" si="6"/>
        <v>0</v>
      </c>
      <c r="F27" s="11">
        <f t="shared" si="6"/>
        <v>0</v>
      </c>
      <c r="G27" s="34">
        <f t="shared" si="6"/>
        <v>-70</v>
      </c>
      <c r="H27" s="11">
        <f t="shared" si="6"/>
        <v>0</v>
      </c>
      <c r="I27" s="34">
        <f t="shared" si="6"/>
        <v>0</v>
      </c>
      <c r="J27" s="11">
        <f t="shared" si="6"/>
        <v>0</v>
      </c>
      <c r="K27" s="34">
        <f t="shared" si="6"/>
        <v>0</v>
      </c>
      <c r="L27" s="9">
        <f t="shared" si="6"/>
        <v>194.52299999999997</v>
      </c>
      <c r="M27" s="55">
        <f aca="true" t="shared" si="7" ref="M27:M32">+(L27-B27)/B27</f>
        <v>-0.26462727248670254</v>
      </c>
    </row>
    <row r="28" spans="1:13" ht="12.75">
      <c r="A28" s="2" t="s">
        <v>33</v>
      </c>
      <c r="B28" s="12">
        <f>'2014-15'!N28</f>
        <v>43.009</v>
      </c>
      <c r="C28" s="39"/>
      <c r="D28" s="15"/>
      <c r="E28" s="39"/>
      <c r="F28" s="15"/>
      <c r="G28" s="39">
        <v>-40</v>
      </c>
      <c r="H28" s="15"/>
      <c r="I28" s="39"/>
      <c r="J28" s="15"/>
      <c r="K28" s="39"/>
      <c r="L28" s="12">
        <f>+B28+SUM(C28:K28)</f>
        <v>3.0090000000000003</v>
      </c>
      <c r="M28" s="56">
        <f t="shared" si="7"/>
        <v>-0.930037899044386</v>
      </c>
    </row>
    <row r="29" spans="1:13" ht="12.75">
      <c r="A29" s="2" t="s">
        <v>35</v>
      </c>
      <c r="B29" s="12">
        <f>'2014-15'!N29</f>
        <v>0.03</v>
      </c>
      <c r="C29" s="39"/>
      <c r="D29" s="15"/>
      <c r="E29" s="39"/>
      <c r="F29" s="15"/>
      <c r="G29" s="39"/>
      <c r="H29" s="15"/>
      <c r="I29" s="39"/>
      <c r="J29" s="15"/>
      <c r="K29" s="39"/>
      <c r="L29" s="12">
        <f>+B29+SUM(C29:K29)</f>
        <v>0.03</v>
      </c>
      <c r="M29" s="56">
        <f t="shared" si="7"/>
        <v>0</v>
      </c>
    </row>
    <row r="30" spans="1:13" ht="12.75">
      <c r="A30" s="2" t="s">
        <v>32</v>
      </c>
      <c r="B30" s="12">
        <f>'2014-15'!N30</f>
        <v>56.317</v>
      </c>
      <c r="C30" s="39"/>
      <c r="D30" s="15"/>
      <c r="E30" s="39"/>
      <c r="F30" s="15"/>
      <c r="G30" s="39"/>
      <c r="H30" s="15"/>
      <c r="I30" s="39"/>
      <c r="J30" s="15"/>
      <c r="K30" s="39"/>
      <c r="L30" s="12">
        <f>+B30+SUM(C30:K30)</f>
        <v>56.317</v>
      </c>
      <c r="M30" s="56">
        <f t="shared" si="7"/>
        <v>0</v>
      </c>
    </row>
    <row r="31" spans="1:13" ht="12.75">
      <c r="A31" s="2" t="s">
        <v>36</v>
      </c>
      <c r="B31" s="12">
        <f>'2014-15'!N31</f>
        <v>176.77999999999997</v>
      </c>
      <c r="C31" s="39"/>
      <c r="D31" s="15"/>
      <c r="E31" s="39"/>
      <c r="F31" s="15"/>
      <c r="G31" s="39"/>
      <c r="H31" s="15"/>
      <c r="I31" s="39"/>
      <c r="J31" s="15"/>
      <c r="K31" s="39"/>
      <c r="L31" s="12">
        <f>+B31+SUM(C31:K31)</f>
        <v>176.77999999999997</v>
      </c>
      <c r="M31" s="56">
        <f t="shared" si="7"/>
        <v>0</v>
      </c>
    </row>
    <row r="32" spans="1:13" ht="12.75">
      <c r="A32" s="2" t="s">
        <v>19</v>
      </c>
      <c r="B32" s="12">
        <f>'2014-15'!N32</f>
        <v>-11.613</v>
      </c>
      <c r="C32" s="39"/>
      <c r="D32" s="15"/>
      <c r="E32" s="39"/>
      <c r="F32" s="15"/>
      <c r="G32" s="39">
        <v>-30</v>
      </c>
      <c r="H32" s="15"/>
      <c r="I32" s="39"/>
      <c r="J32" s="15"/>
      <c r="K32" s="39"/>
      <c r="L32" s="12">
        <f>+B32+SUM(C32:K32)</f>
        <v>-41.613</v>
      </c>
      <c r="M32" s="56">
        <f t="shared" si="7"/>
        <v>2.5833118057349522</v>
      </c>
    </row>
    <row r="33" spans="1:13" ht="15" customHeight="1">
      <c r="A33" s="2"/>
      <c r="B33" s="14"/>
      <c r="C33" s="39"/>
      <c r="D33" s="15"/>
      <c r="E33" s="39"/>
      <c r="F33" s="15"/>
      <c r="G33" s="39"/>
      <c r="H33" s="15"/>
      <c r="I33" s="39"/>
      <c r="J33" s="15"/>
      <c r="K33" s="39"/>
      <c r="L33" s="12"/>
      <c r="M33" s="56"/>
    </row>
    <row r="34" spans="1:13" ht="12.75">
      <c r="A34" s="5" t="s">
        <v>76</v>
      </c>
      <c r="B34" s="9">
        <f>SUM(B35:B39)</f>
        <v>1258.8890000000001</v>
      </c>
      <c r="C34" s="33">
        <f>SUM(C35:C39)</f>
        <v>0</v>
      </c>
      <c r="D34" s="10">
        <f>SUM(D35:D39)</f>
        <v>0</v>
      </c>
      <c r="E34" s="33">
        <f>SUM(E35:E39)</f>
        <v>25</v>
      </c>
      <c r="F34" s="10">
        <f aca="true" t="shared" si="8" ref="F34:L34">SUM(F35:F39)</f>
        <v>0</v>
      </c>
      <c r="G34" s="33">
        <f t="shared" si="8"/>
        <v>-179</v>
      </c>
      <c r="H34" s="10">
        <f t="shared" si="8"/>
        <v>0</v>
      </c>
      <c r="I34" s="33">
        <f t="shared" si="8"/>
        <v>0</v>
      </c>
      <c r="J34" s="10">
        <f t="shared" si="8"/>
        <v>0</v>
      </c>
      <c r="K34" s="33">
        <f t="shared" si="8"/>
        <v>0</v>
      </c>
      <c r="L34" s="9">
        <f t="shared" si="8"/>
        <v>1104.8890000000001</v>
      </c>
      <c r="M34" s="55">
        <f aca="true" t="shared" si="9" ref="M34:M39">+(L34-B34)/B34</f>
        <v>-0.1223300862903719</v>
      </c>
    </row>
    <row r="35" spans="1:13" ht="12.75">
      <c r="A35" s="99" t="s">
        <v>94</v>
      </c>
      <c r="B35" s="12">
        <f>'2014-15'!N35</f>
        <v>-16.525</v>
      </c>
      <c r="C35" s="39"/>
      <c r="D35" s="15"/>
      <c r="E35" s="39"/>
      <c r="F35" s="15"/>
      <c r="G35" s="39">
        <v>-29</v>
      </c>
      <c r="H35" s="15"/>
      <c r="I35" s="39"/>
      <c r="J35" s="15"/>
      <c r="K35" s="39"/>
      <c r="L35" s="12">
        <f>+B35+SUM(C35:K35)</f>
        <v>-45.525</v>
      </c>
      <c r="M35" s="56">
        <f t="shared" si="9"/>
        <v>1.7549167927382754</v>
      </c>
    </row>
    <row r="36" spans="1:13" ht="12.75">
      <c r="A36" s="99" t="s">
        <v>0</v>
      </c>
      <c r="B36" s="12">
        <f>'2014-15'!N36</f>
        <v>535.434</v>
      </c>
      <c r="C36" s="39"/>
      <c r="D36" s="15"/>
      <c r="E36" s="39"/>
      <c r="F36" s="15"/>
      <c r="G36" s="39"/>
      <c r="H36" s="15"/>
      <c r="I36" s="39"/>
      <c r="J36" s="15"/>
      <c r="K36" s="39"/>
      <c r="L36" s="12">
        <f>+B36+SUM(C36:K36)</f>
        <v>535.434</v>
      </c>
      <c r="M36" s="56">
        <f t="shared" si="9"/>
        <v>0</v>
      </c>
    </row>
    <row r="37" spans="1:13" ht="12.75">
      <c r="A37" s="20" t="s">
        <v>67</v>
      </c>
      <c r="B37" s="12">
        <f>'2014-15'!N37</f>
        <v>-90.748</v>
      </c>
      <c r="C37" s="39"/>
      <c r="D37" s="15"/>
      <c r="E37" s="39"/>
      <c r="F37" s="15"/>
      <c r="G37" s="39"/>
      <c r="H37" s="15"/>
      <c r="I37" s="39"/>
      <c r="J37" s="15"/>
      <c r="K37" s="39"/>
      <c r="L37" s="12">
        <f>+B37+SUM(C37:K37)</f>
        <v>-90.748</v>
      </c>
      <c r="M37" s="56">
        <f t="shared" si="9"/>
        <v>0</v>
      </c>
    </row>
    <row r="38" spans="1:13" ht="12.75">
      <c r="A38" s="99" t="s">
        <v>95</v>
      </c>
      <c r="B38" s="12">
        <f>'2014-15'!N38</f>
        <v>61.007999999999996</v>
      </c>
      <c r="C38" s="39"/>
      <c r="D38" s="15"/>
      <c r="E38" s="39"/>
      <c r="F38" s="15"/>
      <c r="G38" s="39"/>
      <c r="H38" s="15"/>
      <c r="I38" s="39"/>
      <c r="J38" s="15"/>
      <c r="K38" s="39"/>
      <c r="L38" s="12">
        <f>+B38+SUM(C38:K38)</f>
        <v>61.007999999999996</v>
      </c>
      <c r="M38" s="56">
        <f t="shared" si="9"/>
        <v>0</v>
      </c>
    </row>
    <row r="39" spans="1:13" ht="12.75">
      <c r="A39" s="3" t="s">
        <v>77</v>
      </c>
      <c r="B39" s="12">
        <f>'2014-15'!N39</f>
        <v>769.72</v>
      </c>
      <c r="C39" s="39"/>
      <c r="D39" s="15"/>
      <c r="E39" s="39">
        <v>25</v>
      </c>
      <c r="F39" s="15"/>
      <c r="G39" s="39">
        <f>-50+-100</f>
        <v>-150</v>
      </c>
      <c r="H39" s="15"/>
      <c r="I39" s="39"/>
      <c r="J39" s="15"/>
      <c r="K39" s="39"/>
      <c r="L39" s="12">
        <f>+B39+SUM(C39:K39)</f>
        <v>644.72</v>
      </c>
      <c r="M39" s="56">
        <f t="shared" si="9"/>
        <v>-0.1623967156888219</v>
      </c>
    </row>
    <row r="40" spans="1:14" ht="12.75">
      <c r="A40" s="20"/>
      <c r="B40" s="38"/>
      <c r="C40" s="39"/>
      <c r="D40" s="15"/>
      <c r="E40" s="39"/>
      <c r="F40" s="103"/>
      <c r="G40" s="103"/>
      <c r="H40" s="103"/>
      <c r="I40" s="103"/>
      <c r="J40" s="103"/>
      <c r="K40" s="103"/>
      <c r="L40" s="104"/>
      <c r="M40" s="88"/>
      <c r="N40" s="105"/>
    </row>
    <row r="41" spans="1:13" ht="12.75">
      <c r="A41" s="5" t="s">
        <v>39</v>
      </c>
      <c r="B41" s="9">
        <f>+SUM(B42:B46)</f>
        <v>3703.4069999999997</v>
      </c>
      <c r="C41" s="33">
        <f>+SUM(C42:C46)</f>
        <v>0</v>
      </c>
      <c r="D41" s="10">
        <f>+SUM(D42:D46)</f>
        <v>0</v>
      </c>
      <c r="E41" s="33">
        <f aca="true" t="shared" si="10" ref="E41:L41">+SUM(E42:E46)</f>
        <v>0</v>
      </c>
      <c r="F41" s="10">
        <f t="shared" si="10"/>
        <v>0</v>
      </c>
      <c r="G41" s="33">
        <f t="shared" si="10"/>
        <v>-156</v>
      </c>
      <c r="H41" s="10">
        <f t="shared" si="10"/>
        <v>38</v>
      </c>
      <c r="I41" s="33">
        <f t="shared" si="10"/>
        <v>0</v>
      </c>
      <c r="J41" s="10">
        <f t="shared" si="10"/>
        <v>0</v>
      </c>
      <c r="K41" s="33">
        <f t="shared" si="10"/>
        <v>0</v>
      </c>
      <c r="L41" s="9">
        <f t="shared" si="10"/>
        <v>3585.4069999999997</v>
      </c>
      <c r="M41" s="55">
        <f aca="true" t="shared" si="11" ref="M41:M46">+(L41-B41)/B41</f>
        <v>-0.03186255250908151</v>
      </c>
    </row>
    <row r="42" spans="1:13" ht="12.75">
      <c r="A42" s="3" t="s">
        <v>78</v>
      </c>
      <c r="B42" s="12">
        <f>'2014-15'!N42</f>
        <v>30.015</v>
      </c>
      <c r="C42" s="39"/>
      <c r="D42" s="15"/>
      <c r="E42" s="39"/>
      <c r="F42" s="15"/>
      <c r="G42" s="39"/>
      <c r="H42" s="15"/>
      <c r="I42" s="39"/>
      <c r="J42" s="15"/>
      <c r="K42" s="39"/>
      <c r="L42" s="12">
        <f>+B42+SUM(C42:K42)</f>
        <v>30.015</v>
      </c>
      <c r="M42" s="56">
        <f t="shared" si="11"/>
        <v>0</v>
      </c>
    </row>
    <row r="43" spans="1:13" ht="12.75">
      <c r="A43" s="3" t="s">
        <v>79</v>
      </c>
      <c r="B43" s="12">
        <f>'2014-15'!N43</f>
        <v>86.506</v>
      </c>
      <c r="C43" s="39"/>
      <c r="D43" s="15"/>
      <c r="E43" s="39"/>
      <c r="F43" s="15"/>
      <c r="G43" s="39">
        <f>-116+-40</f>
        <v>-156</v>
      </c>
      <c r="H43" s="15"/>
      <c r="I43" s="39"/>
      <c r="J43" s="15"/>
      <c r="K43" s="39"/>
      <c r="L43" s="12">
        <f>+B43+SUM(C43:K43)</f>
        <v>-69.494</v>
      </c>
      <c r="M43" s="56">
        <f t="shared" si="11"/>
        <v>-1.80334312070839</v>
      </c>
    </row>
    <row r="44" spans="1:13" ht="12.75">
      <c r="A44" s="3" t="s">
        <v>19</v>
      </c>
      <c r="B44" s="12">
        <f>'2014-15'!N44</f>
        <v>1174.7269999999999</v>
      </c>
      <c r="C44" s="39"/>
      <c r="D44" s="15"/>
      <c r="E44" s="39"/>
      <c r="F44" s="15"/>
      <c r="G44" s="39"/>
      <c r="H44" s="15">
        <v>38</v>
      </c>
      <c r="I44" s="39"/>
      <c r="J44" s="15"/>
      <c r="K44" s="39"/>
      <c r="L44" s="12">
        <f>+B44+SUM(C44:K44)</f>
        <v>1212.7269999999999</v>
      </c>
      <c r="M44" s="56">
        <f t="shared" si="11"/>
        <v>0.032347941266353805</v>
      </c>
    </row>
    <row r="45" spans="1:13" ht="12.75">
      <c r="A45" s="3" t="s">
        <v>53</v>
      </c>
      <c r="B45" s="12">
        <f>'2014-15'!N45</f>
        <v>2412.309</v>
      </c>
      <c r="C45" s="39"/>
      <c r="D45" s="15"/>
      <c r="E45" s="39"/>
      <c r="F45" s="15"/>
      <c r="G45" s="39"/>
      <c r="H45" s="15"/>
      <c r="I45" s="39"/>
      <c r="J45" s="15"/>
      <c r="K45" s="39"/>
      <c r="L45" s="12">
        <f>+B45+SUM(C45:K45)</f>
        <v>2412.309</v>
      </c>
      <c r="M45" s="56">
        <f t="shared" si="11"/>
        <v>0</v>
      </c>
    </row>
    <row r="46" spans="1:13" ht="12.75">
      <c r="A46" s="3" t="s">
        <v>80</v>
      </c>
      <c r="B46" s="12">
        <f>'2014-15'!N46</f>
        <v>-0.15</v>
      </c>
      <c r="C46" s="39"/>
      <c r="D46" s="15"/>
      <c r="E46" s="39"/>
      <c r="F46" s="15"/>
      <c r="G46" s="39"/>
      <c r="H46" s="15"/>
      <c r="I46" s="39"/>
      <c r="J46" s="15"/>
      <c r="K46" s="39"/>
      <c r="L46" s="12">
        <f>+B46+SUM(C46:K46)</f>
        <v>-0.15</v>
      </c>
      <c r="M46" s="56">
        <f t="shared" si="11"/>
        <v>0</v>
      </c>
    </row>
    <row r="47" spans="1:13" ht="17.25" customHeight="1">
      <c r="A47" s="20"/>
      <c r="B47" s="101"/>
      <c r="C47" s="39"/>
      <c r="D47" s="15"/>
      <c r="E47" s="39"/>
      <c r="F47" s="15"/>
      <c r="G47" s="39"/>
      <c r="H47" s="15"/>
      <c r="I47" s="39"/>
      <c r="J47" s="15"/>
      <c r="K47" s="39"/>
      <c r="L47" s="12"/>
      <c r="M47" s="56"/>
    </row>
    <row r="48" spans="1:13" ht="12.75">
      <c r="A48" s="5" t="s">
        <v>84</v>
      </c>
      <c r="B48" s="9">
        <f>+SUM(B49:B53)</f>
        <v>527.335</v>
      </c>
      <c r="C48" s="34">
        <f>+SUM(C49:C53)</f>
        <v>0</v>
      </c>
      <c r="D48" s="11">
        <f>+SUM(D49:D53)</f>
        <v>0</v>
      </c>
      <c r="E48" s="34">
        <f>+SUM(E49:E53)</f>
        <v>0</v>
      </c>
      <c r="F48" s="11">
        <f aca="true" t="shared" si="12" ref="F48:L48">+SUM(F49:F53)</f>
        <v>15</v>
      </c>
      <c r="G48" s="34">
        <f t="shared" si="12"/>
        <v>0</v>
      </c>
      <c r="H48" s="11">
        <f t="shared" si="12"/>
        <v>0</v>
      </c>
      <c r="I48" s="34">
        <f t="shared" si="12"/>
        <v>-70</v>
      </c>
      <c r="J48" s="11">
        <f t="shared" si="12"/>
        <v>0</v>
      </c>
      <c r="K48" s="34">
        <f t="shared" si="12"/>
        <v>35</v>
      </c>
      <c r="L48" s="9">
        <f t="shared" si="12"/>
        <v>507.335</v>
      </c>
      <c r="M48" s="55">
        <f aca="true" t="shared" si="13" ref="M48:M53">+(L48-B48)/B48</f>
        <v>-0.03792655522580533</v>
      </c>
    </row>
    <row r="49" spans="1:13" ht="12.75">
      <c r="A49" s="2" t="s">
        <v>81</v>
      </c>
      <c r="B49" s="12">
        <f>'2014-15'!N49</f>
        <v>194.622</v>
      </c>
      <c r="C49" s="39"/>
      <c r="D49" s="15"/>
      <c r="E49" s="39"/>
      <c r="F49" s="15"/>
      <c r="G49" s="39"/>
      <c r="H49" s="15"/>
      <c r="I49" s="39">
        <v>-20</v>
      </c>
      <c r="J49" s="15"/>
      <c r="K49" s="39"/>
      <c r="L49" s="12">
        <f>+B49+SUM(C49:K49)</f>
        <v>174.622</v>
      </c>
      <c r="M49" s="56">
        <f t="shared" si="13"/>
        <v>-0.10276330527895099</v>
      </c>
    </row>
    <row r="50" spans="1:13" ht="12.75">
      <c r="A50" s="2" t="s">
        <v>82</v>
      </c>
      <c r="B50" s="12">
        <f>'2014-15'!N50</f>
        <v>0.04</v>
      </c>
      <c r="C50" s="39"/>
      <c r="D50" s="15"/>
      <c r="E50" s="39"/>
      <c r="F50" s="15"/>
      <c r="G50" s="39"/>
      <c r="H50" s="15"/>
      <c r="I50" s="39"/>
      <c r="J50" s="15"/>
      <c r="K50" s="39"/>
      <c r="L50" s="12">
        <f>+B50+SUM(C50:K50)</f>
        <v>0.04</v>
      </c>
      <c r="M50" s="56">
        <f t="shared" si="13"/>
        <v>0</v>
      </c>
    </row>
    <row r="51" spans="1:13" ht="12.75">
      <c r="A51" s="2" t="s">
        <v>37</v>
      </c>
      <c r="B51" s="12">
        <f>'2014-15'!N51</f>
        <v>53.259</v>
      </c>
      <c r="C51" s="39"/>
      <c r="D51" s="15"/>
      <c r="E51" s="39"/>
      <c r="F51" s="15"/>
      <c r="G51" s="39"/>
      <c r="H51" s="15"/>
      <c r="I51" s="39"/>
      <c r="J51" s="15"/>
      <c r="K51" s="39"/>
      <c r="L51" s="12">
        <f>+B51+SUM(C51:K51)</f>
        <v>53.259</v>
      </c>
      <c r="M51" s="56">
        <f t="shared" si="13"/>
        <v>0</v>
      </c>
    </row>
    <row r="52" spans="1:13" ht="12.75">
      <c r="A52" s="2" t="s">
        <v>38</v>
      </c>
      <c r="B52" s="12">
        <f>'2014-15'!N52</f>
        <v>119.90299999999999</v>
      </c>
      <c r="C52" s="39"/>
      <c r="D52" s="15"/>
      <c r="E52" s="39"/>
      <c r="F52" s="15"/>
      <c r="G52" s="39"/>
      <c r="H52" s="15"/>
      <c r="I52" s="39"/>
      <c r="J52" s="15"/>
      <c r="K52" s="39"/>
      <c r="L52" s="12">
        <f>+B52+SUM(C52:K52)</f>
        <v>119.90299999999999</v>
      </c>
      <c r="M52" s="56">
        <f t="shared" si="13"/>
        <v>0</v>
      </c>
    </row>
    <row r="53" spans="1:13" ht="12.75">
      <c r="A53" s="20" t="s">
        <v>83</v>
      </c>
      <c r="B53" s="12">
        <f>'2014-15'!N53</f>
        <v>159.51100000000002</v>
      </c>
      <c r="C53" s="39"/>
      <c r="D53" s="15"/>
      <c r="E53" s="39"/>
      <c r="F53" s="15">
        <f>40+-25</f>
        <v>15</v>
      </c>
      <c r="G53" s="39"/>
      <c r="H53" s="15"/>
      <c r="I53" s="39">
        <v>-50</v>
      </c>
      <c r="J53" s="15"/>
      <c r="K53" s="39">
        <v>35</v>
      </c>
      <c r="L53" s="12">
        <f>+B53+SUM(C53:K53)</f>
        <v>159.51100000000002</v>
      </c>
      <c r="M53" s="56">
        <f t="shared" si="13"/>
        <v>0</v>
      </c>
    </row>
    <row r="54" spans="1:13" ht="12.75">
      <c r="A54" s="6"/>
      <c r="B54" s="16"/>
      <c r="C54" s="41"/>
      <c r="D54" s="17"/>
      <c r="E54" s="41"/>
      <c r="F54" s="17"/>
      <c r="G54" s="41"/>
      <c r="H54" s="17"/>
      <c r="I54" s="41"/>
      <c r="J54" s="17"/>
      <c r="K54" s="41"/>
      <c r="L54" s="16"/>
      <c r="M54" s="54"/>
    </row>
    <row r="55" spans="1:13" ht="12.75">
      <c r="A55" s="5" t="s">
        <v>40</v>
      </c>
      <c r="B55" s="9">
        <f aca="true" t="shared" si="14" ref="B55:K55">+SUM(B56:B61)</f>
        <v>434.36899999999997</v>
      </c>
      <c r="C55" s="34">
        <f t="shared" si="14"/>
        <v>0</v>
      </c>
      <c r="D55" s="11">
        <f t="shared" si="14"/>
        <v>0</v>
      </c>
      <c r="E55" s="34">
        <f t="shared" si="14"/>
        <v>0</v>
      </c>
      <c r="F55" s="11">
        <f t="shared" si="14"/>
        <v>-50</v>
      </c>
      <c r="G55" s="34">
        <f t="shared" si="14"/>
        <v>-354</v>
      </c>
      <c r="H55" s="11">
        <f t="shared" si="14"/>
        <v>0</v>
      </c>
      <c r="I55" s="34">
        <f t="shared" si="14"/>
        <v>-5</v>
      </c>
      <c r="J55" s="11">
        <f t="shared" si="14"/>
        <v>-28</v>
      </c>
      <c r="K55" s="34">
        <f t="shared" si="14"/>
        <v>0</v>
      </c>
      <c r="L55" s="9">
        <f>+SUM(L56:L61)</f>
        <v>-2.6310000000000286</v>
      </c>
      <c r="M55" s="55">
        <f aca="true" t="shared" si="15" ref="M55:M61">+(L55-B55)/B55</f>
        <v>-1.0060570620831597</v>
      </c>
    </row>
    <row r="56" spans="1:13" ht="12.75">
      <c r="A56" s="3" t="s">
        <v>1</v>
      </c>
      <c r="B56" s="12">
        <f>'2014-15'!N56</f>
        <v>3.4459999999999997</v>
      </c>
      <c r="C56" s="39"/>
      <c r="D56" s="15"/>
      <c r="E56" s="39"/>
      <c r="F56" s="15"/>
      <c r="G56" s="39">
        <v>-3</v>
      </c>
      <c r="H56" s="15"/>
      <c r="I56" s="39"/>
      <c r="J56" s="15"/>
      <c r="K56" s="39"/>
      <c r="L56" s="12">
        <f aca="true" t="shared" si="16" ref="L56:L61">+B56+SUM(C56:K56)</f>
        <v>0.44599999999999973</v>
      </c>
      <c r="M56" s="56">
        <f t="shared" si="15"/>
        <v>-0.8705745792222868</v>
      </c>
    </row>
    <row r="57" spans="1:13" ht="12.75">
      <c r="A57" s="3" t="s">
        <v>2</v>
      </c>
      <c r="B57" s="12">
        <f>'2014-15'!N57</f>
        <v>218.712</v>
      </c>
      <c r="C57" s="39"/>
      <c r="D57" s="15"/>
      <c r="E57" s="39"/>
      <c r="F57" s="15"/>
      <c r="G57" s="39">
        <v>-1</v>
      </c>
      <c r="H57" s="15"/>
      <c r="I57" s="39"/>
      <c r="J57" s="15"/>
      <c r="K57" s="39"/>
      <c r="L57" s="12">
        <f t="shared" si="16"/>
        <v>217.712</v>
      </c>
      <c r="M57" s="56">
        <f t="shared" si="15"/>
        <v>-0.004572222831851934</v>
      </c>
    </row>
    <row r="58" spans="1:13" ht="12.75">
      <c r="A58" s="3" t="s">
        <v>48</v>
      </c>
      <c r="B58" s="12">
        <f>'2014-15'!N58</f>
        <v>180.921</v>
      </c>
      <c r="C58" s="39"/>
      <c r="D58" s="15"/>
      <c r="E58" s="39"/>
      <c r="F58" s="15">
        <v>-50</v>
      </c>
      <c r="G58" s="39"/>
      <c r="H58" s="15"/>
      <c r="I58" s="39">
        <v>-5</v>
      </c>
      <c r="J58" s="15">
        <v>-28</v>
      </c>
      <c r="K58" s="39"/>
      <c r="L58" s="12">
        <f t="shared" si="16"/>
        <v>97.92099999999999</v>
      </c>
      <c r="M58" s="56">
        <f t="shared" si="15"/>
        <v>-0.4587637698221876</v>
      </c>
    </row>
    <row r="59" spans="1:13" ht="12.75">
      <c r="A59" s="3" t="s">
        <v>49</v>
      </c>
      <c r="B59" s="12">
        <f>'2014-15'!N59</f>
        <v>4.464</v>
      </c>
      <c r="C59" s="39"/>
      <c r="D59" s="15"/>
      <c r="E59" s="39"/>
      <c r="F59" s="15"/>
      <c r="G59" s="39"/>
      <c r="H59" s="15"/>
      <c r="I59" s="39"/>
      <c r="J59" s="15"/>
      <c r="K59" s="39"/>
      <c r="L59" s="12">
        <f t="shared" si="16"/>
        <v>4.464</v>
      </c>
      <c r="M59" s="56">
        <f t="shared" si="15"/>
        <v>0</v>
      </c>
    </row>
    <row r="60" spans="1:13" ht="12.75">
      <c r="A60" s="3" t="s">
        <v>50</v>
      </c>
      <c r="B60" s="12">
        <f>'2014-15'!N60</f>
        <v>0</v>
      </c>
      <c r="C60" s="39"/>
      <c r="D60" s="15"/>
      <c r="E60" s="39"/>
      <c r="F60" s="15"/>
      <c r="G60" s="39"/>
      <c r="H60" s="15"/>
      <c r="I60" s="39"/>
      <c r="J60" s="15"/>
      <c r="K60" s="39"/>
      <c r="L60" s="12">
        <f t="shared" si="16"/>
        <v>0</v>
      </c>
      <c r="M60" s="56" t="e">
        <f t="shared" si="15"/>
        <v>#DIV/0!</v>
      </c>
    </row>
    <row r="61" spans="1:13" ht="12.75">
      <c r="A61" s="3" t="s">
        <v>51</v>
      </c>
      <c r="B61" s="12">
        <f>'2014-15'!N61</f>
        <v>26.826</v>
      </c>
      <c r="C61" s="39"/>
      <c r="D61" s="15"/>
      <c r="E61" s="39"/>
      <c r="F61" s="15"/>
      <c r="G61" s="39">
        <v>-350</v>
      </c>
      <c r="H61" s="15"/>
      <c r="I61" s="39"/>
      <c r="J61" s="15"/>
      <c r="K61" s="39"/>
      <c r="L61" s="12">
        <f t="shared" si="16"/>
        <v>-323.174</v>
      </c>
      <c r="M61" s="56">
        <f t="shared" si="15"/>
        <v>-13.047043912622083</v>
      </c>
    </row>
    <row r="62" spans="1:13" s="31" customFormat="1" ht="15">
      <c r="A62" s="20"/>
      <c r="B62" s="12"/>
      <c r="C62" s="36"/>
      <c r="D62" s="13"/>
      <c r="E62" s="36"/>
      <c r="F62" s="13"/>
      <c r="G62" s="36"/>
      <c r="H62" s="13"/>
      <c r="I62" s="36"/>
      <c r="J62" s="13"/>
      <c r="K62" s="36"/>
      <c r="L62" s="12"/>
      <c r="M62" s="54"/>
    </row>
    <row r="63" spans="1:13" ht="15.75">
      <c r="A63" s="52" t="s">
        <v>85</v>
      </c>
      <c r="B63" s="25">
        <f>+B65+B72+B86+B98</f>
        <v>14139.264999999998</v>
      </c>
      <c r="C63" s="30">
        <f>+C65+C72+C86+C97</f>
        <v>0</v>
      </c>
      <c r="D63" s="26">
        <f>+D65+D72+D86+D97</f>
        <v>0</v>
      </c>
      <c r="E63" s="30">
        <f aca="true" t="shared" si="17" ref="E63:L63">+E65+E72+E86+E98</f>
        <v>157</v>
      </c>
      <c r="F63" s="26">
        <f t="shared" si="17"/>
        <v>-26</v>
      </c>
      <c r="G63" s="30">
        <f t="shared" si="17"/>
        <v>-845</v>
      </c>
      <c r="H63" s="26">
        <f t="shared" si="17"/>
        <v>-7</v>
      </c>
      <c r="I63" s="30">
        <f t="shared" si="17"/>
        <v>-254</v>
      </c>
      <c r="J63" s="26">
        <f t="shared" si="17"/>
        <v>-36</v>
      </c>
      <c r="K63" s="30">
        <f t="shared" si="17"/>
        <v>-285</v>
      </c>
      <c r="L63" s="25">
        <f t="shared" si="17"/>
        <v>12843.265000000001</v>
      </c>
      <c r="M63" s="53">
        <f>+(L63-B63)/B63</f>
        <v>-0.09165964426015048</v>
      </c>
    </row>
    <row r="64" spans="1:13" ht="12.75">
      <c r="A64" s="6"/>
      <c r="B64" s="16"/>
      <c r="C64" s="41"/>
      <c r="D64" s="17"/>
      <c r="E64" s="41"/>
      <c r="F64" s="17"/>
      <c r="G64" s="41"/>
      <c r="H64" s="17"/>
      <c r="I64" s="41"/>
      <c r="J64" s="17"/>
      <c r="K64" s="41"/>
      <c r="L64" s="16"/>
      <c r="M64" s="54"/>
    </row>
    <row r="65" spans="1:13" ht="12.75">
      <c r="A65" s="5" t="s">
        <v>46</v>
      </c>
      <c r="B65" s="9">
        <f aca="true" t="shared" si="18" ref="B65:L65">+SUM(B66:B71)</f>
        <v>2834.6319999999996</v>
      </c>
      <c r="C65" s="33">
        <f t="shared" si="18"/>
        <v>0</v>
      </c>
      <c r="D65" s="10">
        <f t="shared" si="18"/>
        <v>0</v>
      </c>
      <c r="E65" s="33">
        <f t="shared" si="18"/>
        <v>0</v>
      </c>
      <c r="F65" s="10">
        <f t="shared" si="18"/>
        <v>0</v>
      </c>
      <c r="G65" s="33">
        <f t="shared" si="18"/>
        <v>-65</v>
      </c>
      <c r="H65" s="10">
        <f t="shared" si="18"/>
        <v>0</v>
      </c>
      <c r="I65" s="33">
        <f t="shared" si="18"/>
        <v>-2</v>
      </c>
      <c r="J65" s="10">
        <f t="shared" si="18"/>
        <v>-19</v>
      </c>
      <c r="K65" s="33">
        <f t="shared" si="18"/>
        <v>3</v>
      </c>
      <c r="L65" s="9">
        <f t="shared" si="18"/>
        <v>2751.6319999999996</v>
      </c>
      <c r="M65" s="55">
        <f aca="true" t="shared" si="19" ref="M65:M70">+(L65-B65)/B65</f>
        <v>-0.029280696753582126</v>
      </c>
    </row>
    <row r="66" spans="1:13" ht="12.75">
      <c r="A66" s="2" t="s">
        <v>96</v>
      </c>
      <c r="B66" s="12">
        <f>'2014-15'!N66</f>
        <v>797.23</v>
      </c>
      <c r="C66" s="39"/>
      <c r="D66" s="15"/>
      <c r="E66" s="39"/>
      <c r="F66" s="15"/>
      <c r="G66" s="39">
        <f>-20+-45</f>
        <v>-65</v>
      </c>
      <c r="H66" s="15"/>
      <c r="I66" s="39"/>
      <c r="J66" s="15"/>
      <c r="K66" s="39">
        <v>3</v>
      </c>
      <c r="L66" s="12">
        <f>+B66+SUM(C66:K66)</f>
        <v>735.23</v>
      </c>
      <c r="M66" s="56">
        <f t="shared" si="19"/>
        <v>-0.07776927611856052</v>
      </c>
    </row>
    <row r="67" spans="1:13" ht="12.75">
      <c r="A67" s="2" t="s">
        <v>47</v>
      </c>
      <c r="B67" s="12">
        <f>'2014-15'!N67</f>
        <v>607.9169999999999</v>
      </c>
      <c r="C67" s="39"/>
      <c r="D67" s="15"/>
      <c r="E67" s="39"/>
      <c r="F67" s="15"/>
      <c r="G67" s="39"/>
      <c r="H67" s="15"/>
      <c r="I67" s="39"/>
      <c r="J67" s="15"/>
      <c r="K67" s="39"/>
      <c r="L67" s="12">
        <f>+B67+SUM(C67:K67)</f>
        <v>607.9169999999999</v>
      </c>
      <c r="M67" s="56">
        <f t="shared" si="19"/>
        <v>0</v>
      </c>
    </row>
    <row r="68" spans="1:13" ht="12.75">
      <c r="A68" s="2" t="s">
        <v>97</v>
      </c>
      <c r="B68" s="12">
        <f>'2014-15'!N68</f>
        <v>1048.097</v>
      </c>
      <c r="C68" s="39"/>
      <c r="D68" s="15"/>
      <c r="E68" s="39"/>
      <c r="F68" s="15"/>
      <c r="G68" s="39"/>
      <c r="H68" s="15"/>
      <c r="I68" s="39">
        <f>-2</f>
        <v>-2</v>
      </c>
      <c r="J68" s="15">
        <v>-19</v>
      </c>
      <c r="K68" s="39"/>
      <c r="L68" s="12">
        <f>+B68+SUM(C68:K68)</f>
        <v>1027.097</v>
      </c>
      <c r="M68" s="56">
        <f t="shared" si="19"/>
        <v>-0.02003631343282158</v>
      </c>
    </row>
    <row r="69" spans="1:13" ht="12.75">
      <c r="A69" s="2" t="s">
        <v>105</v>
      </c>
      <c r="B69" s="12">
        <f>'2014-15'!N69</f>
        <v>219.334</v>
      </c>
      <c r="C69" s="39"/>
      <c r="D69" s="15"/>
      <c r="E69" s="39"/>
      <c r="F69" s="15"/>
      <c r="G69" s="39"/>
      <c r="H69" s="15"/>
      <c r="I69" s="39"/>
      <c r="J69" s="15"/>
      <c r="K69" s="39"/>
      <c r="L69" s="12">
        <f>+B69+SUM(C69:K69)</f>
        <v>219.334</v>
      </c>
      <c r="M69" s="56">
        <f t="shared" si="19"/>
        <v>0</v>
      </c>
    </row>
    <row r="70" spans="1:13" ht="13.5" customHeight="1">
      <c r="A70" s="2" t="s">
        <v>98</v>
      </c>
      <c r="B70" s="12">
        <f>'2014-15'!N70</f>
        <v>162.054</v>
      </c>
      <c r="C70" s="39"/>
      <c r="D70" s="15"/>
      <c r="E70" s="39"/>
      <c r="F70" s="15"/>
      <c r="G70" s="39"/>
      <c r="H70" s="15"/>
      <c r="I70" s="39"/>
      <c r="J70" s="15"/>
      <c r="K70" s="39"/>
      <c r="L70" s="12">
        <f>+B70+SUM(C70:K70)</f>
        <v>162.054</v>
      </c>
      <c r="M70" s="56">
        <f t="shared" si="19"/>
        <v>0</v>
      </c>
    </row>
    <row r="71" spans="1:13" ht="12.75">
      <c r="A71" s="6"/>
      <c r="B71" s="12"/>
      <c r="C71" s="39"/>
      <c r="D71" s="15"/>
      <c r="E71" s="39"/>
      <c r="F71" s="15"/>
      <c r="G71" s="39"/>
      <c r="H71" s="15"/>
      <c r="I71" s="39"/>
      <c r="J71" s="15"/>
      <c r="K71" s="39"/>
      <c r="L71" s="12"/>
      <c r="M71" s="56"/>
    </row>
    <row r="72" spans="1:13" ht="12.75">
      <c r="A72" s="5" t="s">
        <v>73</v>
      </c>
      <c r="B72" s="9">
        <f>+SUM(B73:B84)</f>
        <v>2879.7709999999997</v>
      </c>
      <c r="C72" s="33">
        <f>+SUM(C73:C84)</f>
        <v>0</v>
      </c>
      <c r="D72" s="10">
        <f>+SUM(D73:D84)</f>
        <v>0</v>
      </c>
      <c r="E72" s="33">
        <f aca="true" t="shared" si="20" ref="E72:L72">+SUM(E73:E84)</f>
        <v>151</v>
      </c>
      <c r="F72" s="10">
        <f t="shared" si="20"/>
        <v>-26</v>
      </c>
      <c r="G72" s="33">
        <f t="shared" si="20"/>
        <v>-270</v>
      </c>
      <c r="H72" s="10">
        <f t="shared" si="20"/>
        <v>-7</v>
      </c>
      <c r="I72" s="33">
        <f t="shared" si="20"/>
        <v>-170</v>
      </c>
      <c r="J72" s="10">
        <f t="shared" si="20"/>
        <v>0</v>
      </c>
      <c r="K72" s="33">
        <f t="shared" si="20"/>
        <v>-100</v>
      </c>
      <c r="L72" s="9">
        <f t="shared" si="20"/>
        <v>2457.7709999999997</v>
      </c>
      <c r="M72" s="55">
        <f aca="true" t="shared" si="21" ref="M72:M84">+(L72-B72)/B72</f>
        <v>-0.1465394296977086</v>
      </c>
    </row>
    <row r="73" spans="1:13" ht="12.75">
      <c r="A73" s="21" t="s">
        <v>86</v>
      </c>
      <c r="B73" s="12">
        <f>'2014-15'!N73</f>
        <v>-2598.2999999999997</v>
      </c>
      <c r="C73" s="39"/>
      <c r="D73" s="15"/>
      <c r="E73" s="39"/>
      <c r="F73" s="15"/>
      <c r="G73" s="39"/>
      <c r="H73" s="15"/>
      <c r="I73" s="39">
        <v>-33</v>
      </c>
      <c r="J73" s="15"/>
      <c r="K73" s="39"/>
      <c r="L73" s="12">
        <f aca="true" t="shared" si="22" ref="L73:L84">+B73+SUM(C73:K73)</f>
        <v>-2631.2999999999997</v>
      </c>
      <c r="M73" s="56">
        <f t="shared" si="21"/>
        <v>0.012700611938575223</v>
      </c>
    </row>
    <row r="74" spans="1:13" ht="12.75">
      <c r="A74" s="21" t="s">
        <v>87</v>
      </c>
      <c r="B74" s="12">
        <f>'2014-15'!N74</f>
        <v>-66.34</v>
      </c>
      <c r="C74" s="39"/>
      <c r="D74" s="15"/>
      <c r="E74" s="39"/>
      <c r="F74" s="15"/>
      <c r="G74" s="39"/>
      <c r="H74" s="15"/>
      <c r="I74" s="39"/>
      <c r="J74" s="15"/>
      <c r="K74" s="39"/>
      <c r="L74" s="12">
        <f t="shared" si="22"/>
        <v>-66.34</v>
      </c>
      <c r="M74" s="56">
        <f t="shared" si="21"/>
        <v>0</v>
      </c>
    </row>
    <row r="75" spans="1:13" ht="12.75">
      <c r="A75" s="21" t="s">
        <v>20</v>
      </c>
      <c r="B75" s="12">
        <f>'2014-15'!N75</f>
        <v>-3634.576</v>
      </c>
      <c r="C75" s="39"/>
      <c r="D75" s="15"/>
      <c r="E75" s="39"/>
      <c r="F75" s="15">
        <v>-110</v>
      </c>
      <c r="G75" s="39">
        <v>-290</v>
      </c>
      <c r="H75" s="15"/>
      <c r="I75" s="39">
        <f>-116+50</f>
        <v>-66</v>
      </c>
      <c r="J75" s="15"/>
      <c r="K75" s="39"/>
      <c r="L75" s="12">
        <f t="shared" si="22"/>
        <v>-4100.576</v>
      </c>
      <c r="M75" s="56">
        <f t="shared" si="21"/>
        <v>0.12821302952531463</v>
      </c>
    </row>
    <row r="76" spans="1:13" ht="12.75">
      <c r="A76" s="21" t="s">
        <v>21</v>
      </c>
      <c r="B76" s="12">
        <f>'2014-15'!N76</f>
        <v>3403.131</v>
      </c>
      <c r="C76" s="39"/>
      <c r="D76" s="15"/>
      <c r="E76" s="39"/>
      <c r="F76" s="15">
        <f>34+50</f>
        <v>84</v>
      </c>
      <c r="G76" s="39"/>
      <c r="H76" s="15"/>
      <c r="I76" s="39">
        <v>-16</v>
      </c>
      <c r="J76" s="15"/>
      <c r="K76" s="39"/>
      <c r="L76" s="12">
        <f t="shared" si="22"/>
        <v>3471.131</v>
      </c>
      <c r="M76" s="56">
        <f t="shared" si="21"/>
        <v>0.019981599297823095</v>
      </c>
    </row>
    <row r="77" spans="1:13" ht="12.75">
      <c r="A77" s="21" t="s">
        <v>88</v>
      </c>
      <c r="B77" s="12">
        <f>'2014-15'!N77</f>
        <v>-1129.9979999999998</v>
      </c>
      <c r="C77" s="39"/>
      <c r="D77" s="15"/>
      <c r="E77" s="39"/>
      <c r="F77" s="15"/>
      <c r="G77" s="39"/>
      <c r="H77" s="15">
        <v>-7</v>
      </c>
      <c r="I77" s="39">
        <v>-25</v>
      </c>
      <c r="J77" s="15"/>
      <c r="K77" s="39"/>
      <c r="L77" s="12">
        <f t="shared" si="22"/>
        <v>-1161.9979999999998</v>
      </c>
      <c r="M77" s="56">
        <f t="shared" si="21"/>
        <v>0.02831863419227291</v>
      </c>
    </row>
    <row r="78" spans="1:13" ht="12.75">
      <c r="A78" s="21" t="s">
        <v>66</v>
      </c>
      <c r="B78" s="12">
        <f>'2014-15'!N78</f>
        <v>-37.94200000000001</v>
      </c>
      <c r="C78" s="39"/>
      <c r="D78" s="15"/>
      <c r="E78" s="39">
        <v>12</v>
      </c>
      <c r="F78" s="15"/>
      <c r="G78" s="39"/>
      <c r="H78" s="15"/>
      <c r="I78" s="39">
        <v>-30</v>
      </c>
      <c r="J78" s="15"/>
      <c r="K78" s="39">
        <v>-75</v>
      </c>
      <c r="L78" s="12">
        <f t="shared" si="22"/>
        <v>-130.942</v>
      </c>
      <c r="M78" s="56">
        <f t="shared" si="21"/>
        <v>2.451109588319013</v>
      </c>
    </row>
    <row r="79" spans="1:13" ht="12.75">
      <c r="A79" s="21" t="s">
        <v>22</v>
      </c>
      <c r="B79" s="12">
        <f>'2014-15'!N79</f>
        <v>3858.322</v>
      </c>
      <c r="C79" s="39"/>
      <c r="D79" s="15"/>
      <c r="E79" s="39">
        <v>1</v>
      </c>
      <c r="F79" s="15"/>
      <c r="G79" s="39"/>
      <c r="H79" s="15"/>
      <c r="I79" s="39"/>
      <c r="J79" s="15"/>
      <c r="K79" s="39">
        <v>-25</v>
      </c>
      <c r="L79" s="12">
        <f t="shared" si="22"/>
        <v>3834.322</v>
      </c>
      <c r="M79" s="56">
        <f t="shared" si="21"/>
        <v>-0.00622032064716216</v>
      </c>
    </row>
    <row r="80" spans="1:13" ht="12.75">
      <c r="A80" s="21" t="s">
        <v>65</v>
      </c>
      <c r="B80" s="12">
        <f>'2014-15'!N80</f>
        <v>-83.10800000000003</v>
      </c>
      <c r="C80" s="39"/>
      <c r="D80" s="15"/>
      <c r="E80" s="39">
        <v>40</v>
      </c>
      <c r="F80" s="15"/>
      <c r="G80" s="39"/>
      <c r="H80" s="15"/>
      <c r="I80" s="39"/>
      <c r="J80" s="15"/>
      <c r="K80" s="39"/>
      <c r="L80" s="12">
        <f t="shared" si="22"/>
        <v>-43.10800000000003</v>
      </c>
      <c r="M80" s="56">
        <f t="shared" si="21"/>
        <v>-0.4813014390913027</v>
      </c>
    </row>
    <row r="81" spans="1:13" ht="12.75">
      <c r="A81" s="21" t="s">
        <v>23</v>
      </c>
      <c r="B81" s="12">
        <f>'2014-15'!N81</f>
        <v>-53.421</v>
      </c>
      <c r="C81" s="39"/>
      <c r="D81" s="15"/>
      <c r="E81" s="39"/>
      <c r="F81" s="15"/>
      <c r="G81" s="39"/>
      <c r="H81" s="15"/>
      <c r="I81" s="39"/>
      <c r="J81" s="15"/>
      <c r="K81" s="39"/>
      <c r="L81" s="12">
        <f t="shared" si="22"/>
        <v>-53.421</v>
      </c>
      <c r="M81" s="56">
        <f t="shared" si="21"/>
        <v>0</v>
      </c>
    </row>
    <row r="82" spans="1:13" ht="12.75" customHeight="1">
      <c r="A82" s="21" t="s">
        <v>89</v>
      </c>
      <c r="B82" s="12">
        <f>'2014-15'!N82</f>
        <v>-218.921</v>
      </c>
      <c r="C82" s="39"/>
      <c r="D82" s="15"/>
      <c r="E82" s="39"/>
      <c r="F82" s="15"/>
      <c r="G82" s="39"/>
      <c r="H82" s="15"/>
      <c r="I82" s="39"/>
      <c r="J82" s="15"/>
      <c r="K82" s="39"/>
      <c r="L82" s="12">
        <f t="shared" si="22"/>
        <v>-218.921</v>
      </c>
      <c r="M82" s="56">
        <f t="shared" si="21"/>
        <v>0</v>
      </c>
    </row>
    <row r="83" spans="1:13" ht="12.75" customHeight="1">
      <c r="A83" s="21" t="s">
        <v>24</v>
      </c>
      <c r="B83" s="12">
        <f>'2014-15'!N83</f>
        <v>2333.6690000000003</v>
      </c>
      <c r="C83" s="39"/>
      <c r="D83" s="15"/>
      <c r="E83" s="39"/>
      <c r="F83" s="15"/>
      <c r="G83" s="39"/>
      <c r="H83" s="15"/>
      <c r="I83" s="39">
        <f>22+-22</f>
        <v>0</v>
      </c>
      <c r="J83" s="15"/>
      <c r="K83" s="39"/>
      <c r="L83" s="12">
        <f t="shared" si="22"/>
        <v>2333.6690000000003</v>
      </c>
      <c r="M83" s="56">
        <f t="shared" si="21"/>
        <v>0</v>
      </c>
    </row>
    <row r="84" spans="1:14" ht="12.75" customHeight="1">
      <c r="A84" s="21" t="s">
        <v>25</v>
      </c>
      <c r="B84" s="104">
        <f>'2014-15'!N84</f>
        <v>1107.255</v>
      </c>
      <c r="C84" s="39"/>
      <c r="D84" s="15"/>
      <c r="E84" s="39">
        <v>98</v>
      </c>
      <c r="F84" s="103"/>
      <c r="G84" s="103">
        <v>20</v>
      </c>
      <c r="H84" s="103"/>
      <c r="I84" s="103"/>
      <c r="J84" s="103"/>
      <c r="K84" s="103"/>
      <c r="L84" s="104">
        <f t="shared" si="22"/>
        <v>1225.255</v>
      </c>
      <c r="M84" s="88">
        <f t="shared" si="21"/>
        <v>0.10656985066673891</v>
      </c>
      <c r="N84" s="105"/>
    </row>
    <row r="85" spans="1:13" ht="12.75" customHeight="1">
      <c r="A85" s="6"/>
      <c r="B85" s="14"/>
      <c r="C85" s="39"/>
      <c r="D85" s="15"/>
      <c r="E85" s="39"/>
      <c r="F85" s="15"/>
      <c r="G85" s="39"/>
      <c r="H85" s="15"/>
      <c r="I85" s="39"/>
      <c r="J85" s="15"/>
      <c r="K85" s="39"/>
      <c r="L85" s="14"/>
      <c r="M85" s="58"/>
    </row>
    <row r="86" spans="1:13" ht="12.75">
      <c r="A86" s="7" t="s">
        <v>104</v>
      </c>
      <c r="B86" s="9">
        <f>+SUM(B87:B96)</f>
        <v>7953.6759999999995</v>
      </c>
      <c r="C86" s="34">
        <f>+SUM(C87:C94)</f>
        <v>0</v>
      </c>
      <c r="D86" s="11">
        <f>+SUM(D87:D94)</f>
        <v>0</v>
      </c>
      <c r="E86" s="34">
        <f aca="true" t="shared" si="23" ref="E86:L86">+SUM(E87:E96)</f>
        <v>6</v>
      </c>
      <c r="F86" s="11">
        <f t="shared" si="23"/>
        <v>0</v>
      </c>
      <c r="G86" s="34">
        <f t="shared" si="23"/>
        <v>-510</v>
      </c>
      <c r="H86" s="11">
        <f t="shared" si="23"/>
        <v>0</v>
      </c>
      <c r="I86" s="34">
        <f t="shared" si="23"/>
        <v>-62</v>
      </c>
      <c r="J86" s="11">
        <f t="shared" si="23"/>
        <v>0</v>
      </c>
      <c r="K86" s="34">
        <f t="shared" si="23"/>
        <v>-25</v>
      </c>
      <c r="L86" s="9">
        <f t="shared" si="23"/>
        <v>7362.676000000001</v>
      </c>
      <c r="M86" s="55">
        <f aca="true" t="shared" si="24" ref="M86:M96">+(L86-B86)/B86</f>
        <v>-0.07430526463486799</v>
      </c>
    </row>
    <row r="87" spans="1:13" ht="12.75">
      <c r="A87" s="4" t="s">
        <v>55</v>
      </c>
      <c r="B87" s="12">
        <f>'2014-15'!N87</f>
        <v>2061.77</v>
      </c>
      <c r="C87" s="39"/>
      <c r="D87" s="15"/>
      <c r="E87" s="39">
        <v>6</v>
      </c>
      <c r="F87" s="15"/>
      <c r="G87" s="39">
        <f>-300+-195</f>
        <v>-495</v>
      </c>
      <c r="H87" s="15"/>
      <c r="I87" s="39">
        <v>-10</v>
      </c>
      <c r="J87" s="15"/>
      <c r="K87" s="39"/>
      <c r="L87" s="12">
        <f aca="true" t="shared" si="25" ref="L87:L96">+B87+SUM(C87:K87)</f>
        <v>1562.77</v>
      </c>
      <c r="M87" s="56">
        <f t="shared" si="24"/>
        <v>-0.24202505614108266</v>
      </c>
    </row>
    <row r="88" spans="1:13" ht="12.75">
      <c r="A88" s="4" t="s">
        <v>72</v>
      </c>
      <c r="B88" s="12">
        <f>'2014-15'!N88</f>
        <v>90.75999999999999</v>
      </c>
      <c r="C88" s="39"/>
      <c r="D88" s="15"/>
      <c r="E88" s="39"/>
      <c r="F88" s="15"/>
      <c r="G88" s="39"/>
      <c r="H88" s="15"/>
      <c r="I88" s="39"/>
      <c r="J88" s="15"/>
      <c r="K88" s="39"/>
      <c r="L88" s="12">
        <f t="shared" si="25"/>
        <v>90.75999999999999</v>
      </c>
      <c r="M88" s="56">
        <f t="shared" si="24"/>
        <v>0</v>
      </c>
    </row>
    <row r="89" spans="1:13" ht="12.75">
      <c r="A89" s="4" t="s">
        <v>56</v>
      </c>
      <c r="B89" s="12">
        <f>'2014-15'!N89</f>
        <v>212.068</v>
      </c>
      <c r="C89" s="39"/>
      <c r="D89" s="15"/>
      <c r="E89" s="39"/>
      <c r="F89" s="15"/>
      <c r="G89" s="39"/>
      <c r="H89" s="15"/>
      <c r="I89" s="39"/>
      <c r="J89" s="15"/>
      <c r="K89" s="39"/>
      <c r="L89" s="12">
        <f t="shared" si="25"/>
        <v>212.068</v>
      </c>
      <c r="M89" s="56">
        <f t="shared" si="24"/>
        <v>0</v>
      </c>
    </row>
    <row r="90" spans="1:13" ht="12.75">
      <c r="A90" s="4" t="s">
        <v>57</v>
      </c>
      <c r="B90" s="12">
        <f>'2014-15'!N90</f>
        <v>24.669</v>
      </c>
      <c r="C90" s="39"/>
      <c r="D90" s="15"/>
      <c r="E90" s="39"/>
      <c r="F90" s="15"/>
      <c r="G90" s="39"/>
      <c r="H90" s="15"/>
      <c r="I90" s="39"/>
      <c r="J90" s="15"/>
      <c r="K90" s="39"/>
      <c r="L90" s="12">
        <f t="shared" si="25"/>
        <v>24.669</v>
      </c>
      <c r="M90" s="56">
        <f t="shared" si="24"/>
        <v>0</v>
      </c>
    </row>
    <row r="91" spans="1:13" ht="12.75">
      <c r="A91" s="4" t="s">
        <v>58</v>
      </c>
      <c r="B91" s="12">
        <f>'2014-15'!N91</f>
        <v>69.643</v>
      </c>
      <c r="C91" s="39"/>
      <c r="D91" s="15"/>
      <c r="E91" s="39"/>
      <c r="F91" s="15"/>
      <c r="G91" s="39"/>
      <c r="H91" s="15"/>
      <c r="I91" s="39"/>
      <c r="J91" s="15"/>
      <c r="K91" s="39"/>
      <c r="L91" s="12">
        <f t="shared" si="25"/>
        <v>69.643</v>
      </c>
      <c r="M91" s="56">
        <f t="shared" si="24"/>
        <v>0</v>
      </c>
    </row>
    <row r="92" spans="1:13" ht="12.75">
      <c r="A92" s="4" t="s">
        <v>59</v>
      </c>
      <c r="B92" s="12">
        <f>'2014-15'!N92</f>
        <v>145.51999999999998</v>
      </c>
      <c r="C92" s="39"/>
      <c r="D92" s="15"/>
      <c r="E92" s="39"/>
      <c r="F92" s="15"/>
      <c r="G92" s="39"/>
      <c r="H92" s="15"/>
      <c r="I92" s="39"/>
      <c r="J92" s="15"/>
      <c r="K92" s="39"/>
      <c r="L92" s="12">
        <f t="shared" si="25"/>
        <v>145.51999999999998</v>
      </c>
      <c r="M92" s="56">
        <f t="shared" si="24"/>
        <v>0</v>
      </c>
    </row>
    <row r="93" spans="1:13" ht="12.75">
      <c r="A93" s="4" t="s">
        <v>60</v>
      </c>
      <c r="B93" s="12">
        <f>'2014-15'!N93</f>
        <v>1814.5049999999999</v>
      </c>
      <c r="C93" s="39"/>
      <c r="D93" s="15"/>
      <c r="E93" s="39"/>
      <c r="F93" s="15"/>
      <c r="G93" s="39">
        <v>-10</v>
      </c>
      <c r="H93" s="15"/>
      <c r="I93" s="39">
        <f>-17+-30+-5</f>
        <v>-52</v>
      </c>
      <c r="J93" s="15"/>
      <c r="K93" s="39"/>
      <c r="L93" s="12">
        <f t="shared" si="25"/>
        <v>1752.5049999999999</v>
      </c>
      <c r="M93" s="56">
        <f t="shared" si="24"/>
        <v>-0.03416909845935944</v>
      </c>
    </row>
    <row r="94" spans="1:13" ht="12.75">
      <c r="A94" s="4" t="s">
        <v>90</v>
      </c>
      <c r="B94" s="100">
        <f>'2014-15'!N94</f>
        <v>443.527</v>
      </c>
      <c r="C94" s="39"/>
      <c r="D94" s="15"/>
      <c r="E94" s="39"/>
      <c r="F94" s="15"/>
      <c r="G94" s="39"/>
      <c r="H94" s="15"/>
      <c r="I94" s="39"/>
      <c r="J94" s="15"/>
      <c r="K94" s="39"/>
      <c r="L94" s="12">
        <f t="shared" si="25"/>
        <v>443.527</v>
      </c>
      <c r="M94" s="56">
        <f t="shared" si="24"/>
        <v>0</v>
      </c>
    </row>
    <row r="95" spans="1:13" ht="12.75">
      <c r="A95" s="3" t="s">
        <v>16</v>
      </c>
      <c r="B95" s="100">
        <f>'2014-15'!N95</f>
        <v>2698.6610000000005</v>
      </c>
      <c r="C95" s="39"/>
      <c r="D95" s="15"/>
      <c r="E95" s="39"/>
      <c r="F95" s="15"/>
      <c r="G95" s="39"/>
      <c r="H95" s="15"/>
      <c r="I95" s="39"/>
      <c r="J95" s="15"/>
      <c r="K95" s="39">
        <v>-25</v>
      </c>
      <c r="L95" s="12">
        <f t="shared" si="25"/>
        <v>2673.6610000000005</v>
      </c>
      <c r="M95" s="56">
        <f t="shared" si="24"/>
        <v>-0.009263853444356292</v>
      </c>
    </row>
    <row r="96" spans="1:13" ht="12.75">
      <c r="A96" s="3" t="s">
        <v>99</v>
      </c>
      <c r="B96" s="16">
        <f>'2014-15'!N96</f>
        <v>392.553</v>
      </c>
      <c r="C96" s="41"/>
      <c r="D96" s="17"/>
      <c r="E96" s="41"/>
      <c r="F96" s="17"/>
      <c r="G96" s="41">
        <v>-5</v>
      </c>
      <c r="H96" s="17"/>
      <c r="I96" s="39"/>
      <c r="J96" s="15"/>
      <c r="K96" s="39"/>
      <c r="L96" s="12">
        <f t="shared" si="25"/>
        <v>387.553</v>
      </c>
      <c r="M96" s="56">
        <f t="shared" si="24"/>
        <v>-0.012737133584509609</v>
      </c>
    </row>
    <row r="97" spans="1:13" ht="12.75">
      <c r="A97" s="7"/>
      <c r="B97" s="9"/>
      <c r="C97" s="33"/>
      <c r="D97" s="10"/>
      <c r="E97" s="33"/>
      <c r="F97" s="10"/>
      <c r="G97" s="33"/>
      <c r="H97" s="10"/>
      <c r="I97" s="33"/>
      <c r="J97" s="10"/>
      <c r="K97" s="33"/>
      <c r="L97" s="9"/>
      <c r="M97" s="55"/>
    </row>
    <row r="98" spans="1:13" ht="12.75">
      <c r="A98" s="5" t="s">
        <v>70</v>
      </c>
      <c r="B98" s="9">
        <f aca="true" t="shared" si="26" ref="B98:L98">+SUM(B99:B102)</f>
        <v>471.186</v>
      </c>
      <c r="C98" s="33">
        <f t="shared" si="26"/>
        <v>0</v>
      </c>
      <c r="D98" s="10">
        <f t="shared" si="26"/>
        <v>0</v>
      </c>
      <c r="E98" s="33">
        <f t="shared" si="26"/>
        <v>0</v>
      </c>
      <c r="F98" s="10">
        <f t="shared" si="26"/>
        <v>0</v>
      </c>
      <c r="G98" s="33">
        <f t="shared" si="26"/>
        <v>0</v>
      </c>
      <c r="H98" s="10">
        <f t="shared" si="26"/>
        <v>0</v>
      </c>
      <c r="I98" s="33">
        <f t="shared" si="26"/>
        <v>-20</v>
      </c>
      <c r="J98" s="10">
        <f t="shared" si="26"/>
        <v>-17</v>
      </c>
      <c r="K98" s="33">
        <f t="shared" si="26"/>
        <v>-163</v>
      </c>
      <c r="L98" s="9">
        <f t="shared" si="26"/>
        <v>271.18600000000004</v>
      </c>
      <c r="M98" s="55">
        <f>+(L98-B98)/B98</f>
        <v>-0.42446082863242957</v>
      </c>
    </row>
    <row r="99" spans="1:13" ht="12.75">
      <c r="A99" s="20" t="s">
        <v>14</v>
      </c>
      <c r="B99" s="12">
        <f>'2014-15'!N99</f>
        <v>-16.736999999999995</v>
      </c>
      <c r="C99" s="39"/>
      <c r="D99" s="15"/>
      <c r="E99" s="39"/>
      <c r="F99" s="15"/>
      <c r="G99" s="39"/>
      <c r="H99" s="15"/>
      <c r="I99" s="39">
        <v>-12</v>
      </c>
      <c r="J99" s="15"/>
      <c r="K99" s="39"/>
      <c r="L99" s="12">
        <f>+B99+SUM(C99:K99)</f>
        <v>-28.736999999999995</v>
      </c>
      <c r="M99" s="56">
        <f>+(L99-B99)/B99</f>
        <v>0.7169743681663383</v>
      </c>
    </row>
    <row r="100" spans="1:13" ht="12.75">
      <c r="A100" s="20" t="s">
        <v>52</v>
      </c>
      <c r="B100" s="12">
        <f>'2014-15'!N100</f>
        <v>441.939</v>
      </c>
      <c r="C100" s="39"/>
      <c r="D100" s="15"/>
      <c r="E100" s="39"/>
      <c r="F100" s="15"/>
      <c r="G100" s="39"/>
      <c r="H100" s="15"/>
      <c r="I100" s="39">
        <f>-2+-5+-1</f>
        <v>-8</v>
      </c>
      <c r="J100" s="15"/>
      <c r="K100" s="39">
        <v>-3</v>
      </c>
      <c r="L100" s="12">
        <f>+B100+SUM(C100:K100)</f>
        <v>430.939</v>
      </c>
      <c r="M100" s="56">
        <f>+(L100-B100)/B100</f>
        <v>-0.024890312916488473</v>
      </c>
    </row>
    <row r="101" spans="1:13" ht="15" customHeight="1">
      <c r="A101" s="20" t="s">
        <v>15</v>
      </c>
      <c r="B101" s="12">
        <f>'2014-15'!N101</f>
        <v>45.984</v>
      </c>
      <c r="C101" s="39"/>
      <c r="D101" s="15"/>
      <c r="E101" s="39"/>
      <c r="F101" s="15"/>
      <c r="G101" s="39"/>
      <c r="H101" s="15"/>
      <c r="I101" s="39"/>
      <c r="J101" s="15">
        <v>-17</v>
      </c>
      <c r="K101" s="39">
        <v>-160</v>
      </c>
      <c r="L101" s="12">
        <f>+B101+SUM(C101:K101)</f>
        <v>-131.016</v>
      </c>
      <c r="M101" s="56">
        <f>+(L101-B101)/B101</f>
        <v>-3.849164926931106</v>
      </c>
    </row>
    <row r="102" spans="1:13" ht="12.75">
      <c r="A102" s="5"/>
      <c r="B102" s="12"/>
      <c r="C102" s="39"/>
      <c r="D102" s="15"/>
      <c r="E102" s="39"/>
      <c r="F102" s="15"/>
      <c r="G102" s="39"/>
      <c r="H102" s="15"/>
      <c r="I102" s="39"/>
      <c r="J102" s="15"/>
      <c r="K102" s="39"/>
      <c r="L102" s="12"/>
      <c r="M102" s="56"/>
    </row>
    <row r="103" spans="1:13" s="31" customFormat="1" ht="41.25" customHeight="1">
      <c r="A103" s="59" t="s">
        <v>71</v>
      </c>
      <c r="B103" s="64">
        <f>+B5+B25+B63</f>
        <v>20819.814</v>
      </c>
      <c r="C103" s="60">
        <f>+C5+C25+C63</f>
        <v>0</v>
      </c>
      <c r="D103" s="63">
        <f>+D5+D25+D63</f>
        <v>0</v>
      </c>
      <c r="E103" s="108">
        <f aca="true" t="shared" si="27" ref="E103:L103">+E5+E25+E63</f>
        <v>182</v>
      </c>
      <c r="F103" s="63">
        <f t="shared" si="27"/>
        <v>-18</v>
      </c>
      <c r="G103" s="63">
        <f t="shared" si="27"/>
        <v>-1689</v>
      </c>
      <c r="H103" s="63">
        <f t="shared" si="27"/>
        <v>33</v>
      </c>
      <c r="I103" s="63">
        <f t="shared" si="27"/>
        <v>-394</v>
      </c>
      <c r="J103" s="63">
        <f t="shared" si="27"/>
        <v>-150</v>
      </c>
      <c r="K103" s="63">
        <f t="shared" si="27"/>
        <v>-525</v>
      </c>
      <c r="L103" s="64">
        <f t="shared" si="27"/>
        <v>18258.814</v>
      </c>
      <c r="M103" s="61">
        <f>+(L103-B103)/B103</f>
        <v>-0.12300782322070698</v>
      </c>
    </row>
    <row r="104" spans="1:12" ht="12.75">
      <c r="A104" s="35"/>
      <c r="B104" s="68"/>
      <c r="C104" s="45"/>
      <c r="D104" s="45"/>
      <c r="E104" s="68"/>
      <c r="F104" s="68"/>
      <c r="G104" s="68"/>
      <c r="H104" s="68"/>
      <c r="I104" s="68"/>
      <c r="J104" s="68"/>
      <c r="K104" s="68"/>
      <c r="L104" s="45"/>
    </row>
    <row r="105" spans="1:13" ht="15.75" hidden="1" outlineLevel="1">
      <c r="A105" s="75" t="s">
        <v>3</v>
      </c>
      <c r="B105" s="38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46"/>
    </row>
    <row r="106" spans="1:13" ht="12.75" hidden="1" outlineLevel="1">
      <c r="A106" s="76" t="s">
        <v>10</v>
      </c>
      <c r="B106" s="38">
        <f>'2014-15'!N106</f>
        <v>193.80799999999954</v>
      </c>
      <c r="C106" s="24">
        <v>-1802.742</v>
      </c>
      <c r="D106" s="24"/>
      <c r="E106" s="24"/>
      <c r="F106" s="24"/>
      <c r="G106" s="24"/>
      <c r="H106" s="24"/>
      <c r="I106" s="24"/>
      <c r="J106" s="24"/>
      <c r="K106" s="24"/>
      <c r="L106" s="77">
        <f>+B106+SUM(C106:K106)</f>
        <v>-1608.9340000000004</v>
      </c>
      <c r="M106" s="37"/>
    </row>
    <row r="107" spans="1:13" ht="12.75" hidden="1" outlineLevel="1">
      <c r="A107" s="76"/>
      <c r="B107" s="38"/>
      <c r="C107" s="24"/>
      <c r="D107" s="24"/>
      <c r="E107" s="24"/>
      <c r="F107" s="24"/>
      <c r="G107" s="24"/>
      <c r="H107" s="24"/>
      <c r="I107" s="24"/>
      <c r="J107" s="24"/>
      <c r="K107" s="24"/>
      <c r="L107" s="77"/>
      <c r="M107" s="46"/>
    </row>
    <row r="108" spans="1:13" ht="12.75" hidden="1" outlineLevel="1">
      <c r="A108" s="76" t="s">
        <v>4</v>
      </c>
      <c r="B108" s="38">
        <f>'2014-15'!N108</f>
        <v>3008.818</v>
      </c>
      <c r="C108" s="24">
        <v>1608.82</v>
      </c>
      <c r="D108" s="24"/>
      <c r="E108" s="24"/>
      <c r="F108" s="24"/>
      <c r="G108" s="24"/>
      <c r="H108" s="24"/>
      <c r="I108" s="24"/>
      <c r="J108" s="24"/>
      <c r="K108" s="24"/>
      <c r="L108" s="77">
        <f>+B108+SUM(C108:K108)</f>
        <v>4617.638</v>
      </c>
      <c r="M108" s="37"/>
    </row>
    <row r="109" spans="1:13" ht="15" hidden="1" outlineLevel="1">
      <c r="A109" s="78"/>
      <c r="B109" s="38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46"/>
    </row>
    <row r="110" spans="1:13" ht="15.75" hidden="1" outlineLevel="1">
      <c r="A110" s="75" t="s">
        <v>13</v>
      </c>
      <c r="B110" s="32">
        <f aca="true" t="shared" si="28" ref="B110:L110">+SUM(B103:B109)</f>
        <v>24022.44</v>
      </c>
      <c r="C110" s="47">
        <f t="shared" si="28"/>
        <v>-193.92200000000003</v>
      </c>
      <c r="D110" s="47">
        <f t="shared" si="28"/>
        <v>0</v>
      </c>
      <c r="E110" s="47">
        <f t="shared" si="28"/>
        <v>182</v>
      </c>
      <c r="F110" s="47">
        <f t="shared" si="28"/>
        <v>-18</v>
      </c>
      <c r="G110" s="47">
        <f t="shared" si="28"/>
        <v>-1689</v>
      </c>
      <c r="H110" s="47">
        <f t="shared" si="28"/>
        <v>33</v>
      </c>
      <c r="I110" s="47">
        <f t="shared" si="28"/>
        <v>-394</v>
      </c>
      <c r="J110" s="47">
        <f t="shared" si="28"/>
        <v>-150</v>
      </c>
      <c r="K110" s="47">
        <f t="shared" si="28"/>
        <v>-525</v>
      </c>
      <c r="L110" s="47">
        <f t="shared" si="28"/>
        <v>21267.517999999996</v>
      </c>
      <c r="M110" s="37"/>
    </row>
    <row r="111" spans="1:13" ht="15" hidden="1" outlineLevel="1">
      <c r="A111" s="78"/>
      <c r="B111" s="38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46"/>
    </row>
    <row r="112" spans="1:13" ht="12.75" hidden="1" outlineLevel="1">
      <c r="A112" s="79" t="s">
        <v>5</v>
      </c>
      <c r="B112" s="38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46"/>
    </row>
    <row r="113" spans="1:13" ht="25.5" hidden="1" outlineLevel="1">
      <c r="A113" s="76" t="s">
        <v>6</v>
      </c>
      <c r="B113" s="38">
        <f>'2014-15'!N113</f>
        <v>0</v>
      </c>
      <c r="C113" s="24">
        <v>0</v>
      </c>
      <c r="D113" s="24"/>
      <c r="E113" s="24"/>
      <c r="F113" s="24"/>
      <c r="G113" s="24"/>
      <c r="H113" s="24"/>
      <c r="I113" s="24"/>
      <c r="J113" s="24"/>
      <c r="K113" s="24"/>
      <c r="L113" s="77">
        <f>+B113+SUM(C113:K113)</f>
        <v>0</v>
      </c>
      <c r="M113" s="37"/>
    </row>
    <row r="114" spans="1:13" ht="15" hidden="1" outlineLevel="1">
      <c r="A114" s="78"/>
      <c r="B114" s="38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46"/>
    </row>
    <row r="115" spans="1:13" ht="15.75" hidden="1" outlineLevel="1">
      <c r="A115" s="75" t="s">
        <v>7</v>
      </c>
      <c r="B115" s="32">
        <f>+SUM(B110,B113)</f>
        <v>24022.44</v>
      </c>
      <c r="C115" s="47">
        <f>+SUM(C110,C113)</f>
        <v>-193.92200000000003</v>
      </c>
      <c r="D115" s="47">
        <f aca="true" t="shared" si="29" ref="D115:L115">+SUM(D110,D113)</f>
        <v>0</v>
      </c>
      <c r="E115" s="47">
        <f t="shared" si="29"/>
        <v>182</v>
      </c>
      <c r="F115" s="47">
        <f t="shared" si="29"/>
        <v>-18</v>
      </c>
      <c r="G115" s="47">
        <f t="shared" si="29"/>
        <v>-1689</v>
      </c>
      <c r="H115" s="47">
        <f t="shared" si="29"/>
        <v>33</v>
      </c>
      <c r="I115" s="47">
        <f t="shared" si="29"/>
        <v>-394</v>
      </c>
      <c r="J115" s="47">
        <f t="shared" si="29"/>
        <v>-150</v>
      </c>
      <c r="K115" s="47">
        <f t="shared" si="29"/>
        <v>-525</v>
      </c>
      <c r="L115" s="47">
        <f t="shared" si="29"/>
        <v>21267.517999999996</v>
      </c>
      <c r="M115" s="48"/>
    </row>
    <row r="116" spans="1:13" ht="15" hidden="1" outlineLevel="1">
      <c r="A116" s="78"/>
      <c r="B116" s="38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46"/>
    </row>
    <row r="117" spans="1:13" ht="15" hidden="1" outlineLevel="1">
      <c r="A117" s="78"/>
      <c r="B117" s="38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46"/>
    </row>
    <row r="118" spans="1:13" ht="15.75" hidden="1" outlineLevel="1">
      <c r="A118" s="75" t="s">
        <v>8</v>
      </c>
      <c r="B118" s="32">
        <f>+SUM(B119:B123)</f>
        <v>-24022.873</v>
      </c>
      <c r="C118" s="47">
        <f>+SUM(C119:C123)</f>
        <v>2754.922</v>
      </c>
      <c r="D118" s="47">
        <f aca="true" t="shared" si="30" ref="D118:L118">+SUM(D119:D123)</f>
        <v>0</v>
      </c>
      <c r="E118" s="47">
        <f t="shared" si="30"/>
        <v>0</v>
      </c>
      <c r="F118" s="47">
        <f t="shared" si="30"/>
        <v>0</v>
      </c>
      <c r="G118" s="47">
        <f t="shared" si="30"/>
        <v>0</v>
      </c>
      <c r="H118" s="47">
        <f t="shared" si="30"/>
        <v>0</v>
      </c>
      <c r="I118" s="47">
        <f t="shared" si="30"/>
        <v>0</v>
      </c>
      <c r="J118" s="47">
        <f t="shared" si="30"/>
        <v>0</v>
      </c>
      <c r="K118" s="47">
        <f t="shared" si="30"/>
        <v>0</v>
      </c>
      <c r="L118" s="47">
        <f t="shared" si="30"/>
        <v>-21267.951</v>
      </c>
      <c r="M118" s="37"/>
    </row>
    <row r="119" spans="1:13" ht="12.75" hidden="1" outlineLevel="1">
      <c r="A119" s="76" t="s">
        <v>108</v>
      </c>
      <c r="B119" s="38">
        <f>'2014-15'!N119</f>
        <v>-6339</v>
      </c>
      <c r="C119" s="24">
        <v>1906</v>
      </c>
      <c r="D119" s="24"/>
      <c r="E119" s="24"/>
      <c r="F119" s="24"/>
      <c r="G119" s="24"/>
      <c r="H119" s="24"/>
      <c r="I119" s="24"/>
      <c r="J119" s="24"/>
      <c r="K119" s="24"/>
      <c r="L119" s="77">
        <f>+B119+SUM(C119:K119)</f>
        <v>-4433</v>
      </c>
      <c r="M119" s="37"/>
    </row>
    <row r="120" spans="1:13" ht="12.75" hidden="1" outlineLevel="1">
      <c r="A120" s="76" t="s">
        <v>109</v>
      </c>
      <c r="B120" s="38">
        <f>'2014-15'!N120</f>
        <v>-6114.236</v>
      </c>
      <c r="C120" s="24">
        <v>814.959</v>
      </c>
      <c r="D120" s="24"/>
      <c r="E120" s="24"/>
      <c r="F120" s="24"/>
      <c r="G120" s="24"/>
      <c r="H120" s="24"/>
      <c r="I120" s="24"/>
      <c r="J120" s="24"/>
      <c r="K120" s="24"/>
      <c r="L120" s="77">
        <f>+B120+SUM(C120:K120)</f>
        <v>-5299.277</v>
      </c>
      <c r="M120" s="37"/>
    </row>
    <row r="121" spans="1:13" ht="12.75" hidden="1" outlineLevel="1">
      <c r="A121" s="80" t="s">
        <v>110</v>
      </c>
      <c r="B121" s="38">
        <f>'2014-15'!N121</f>
        <v>-11518.809</v>
      </c>
      <c r="C121" s="24">
        <v>-171.037</v>
      </c>
      <c r="D121" s="24"/>
      <c r="E121" s="24"/>
      <c r="F121" s="24"/>
      <c r="G121" s="24"/>
      <c r="H121" s="24"/>
      <c r="I121" s="24"/>
      <c r="J121" s="24"/>
      <c r="K121" s="24"/>
      <c r="L121" s="77">
        <f>+B121+SUM(C121:K121)</f>
        <v>-11689.846</v>
      </c>
      <c r="M121" s="37"/>
    </row>
    <row r="122" spans="1:13" ht="12.75" hidden="1" outlineLevel="1">
      <c r="A122" s="80" t="s">
        <v>111</v>
      </c>
      <c r="B122" s="38">
        <f>'2014-15'!N122</f>
        <v>154.172</v>
      </c>
      <c r="C122" s="24"/>
      <c r="D122" s="24"/>
      <c r="E122" s="24"/>
      <c r="F122" s="24"/>
      <c r="G122" s="24"/>
      <c r="H122" s="24"/>
      <c r="I122" s="24"/>
      <c r="J122" s="24"/>
      <c r="K122" s="24"/>
      <c r="L122" s="77">
        <f>+B122+SUM(C122:K122)</f>
        <v>154.172</v>
      </c>
      <c r="M122" s="37"/>
    </row>
    <row r="123" spans="1:13" ht="12.75" hidden="1" outlineLevel="1">
      <c r="A123" s="80" t="s">
        <v>112</v>
      </c>
      <c r="B123" s="38">
        <f>'2014-15'!N123</f>
        <v>-205</v>
      </c>
      <c r="C123" s="24">
        <v>205</v>
      </c>
      <c r="D123" s="24"/>
      <c r="E123" s="24"/>
      <c r="F123" s="24"/>
      <c r="G123" s="24"/>
      <c r="H123" s="24"/>
      <c r="I123" s="24"/>
      <c r="J123" s="24"/>
      <c r="K123" s="24"/>
      <c r="L123" s="77">
        <f>+B123+SUM(C123:K123)</f>
        <v>0</v>
      </c>
      <c r="M123" s="37"/>
    </row>
    <row r="124" spans="1:13" ht="12.75" hidden="1" outlineLevel="1">
      <c r="A124" s="76"/>
      <c r="B124" s="38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46"/>
    </row>
    <row r="125" spans="1:13" ht="12.75" hidden="1" outlineLevel="1">
      <c r="A125" s="76" t="s">
        <v>9</v>
      </c>
      <c r="B125" s="38">
        <f aca="true" t="shared" si="31" ref="B125:L125">+SUM(B118,B115)</f>
        <v>-0.4330000000009022</v>
      </c>
      <c r="C125" s="24">
        <f t="shared" si="31"/>
        <v>2561</v>
      </c>
      <c r="D125" s="24">
        <f t="shared" si="31"/>
        <v>0</v>
      </c>
      <c r="E125" s="24">
        <f t="shared" si="31"/>
        <v>182</v>
      </c>
      <c r="F125" s="24">
        <f t="shared" si="31"/>
        <v>-18</v>
      </c>
      <c r="G125" s="24">
        <f t="shared" si="31"/>
        <v>-1689</v>
      </c>
      <c r="H125" s="24">
        <f t="shared" si="31"/>
        <v>33</v>
      </c>
      <c r="I125" s="24">
        <f t="shared" si="31"/>
        <v>-394</v>
      </c>
      <c r="J125" s="24">
        <f t="shared" si="31"/>
        <v>-150</v>
      </c>
      <c r="K125" s="24">
        <f t="shared" si="31"/>
        <v>-525</v>
      </c>
      <c r="L125" s="24">
        <f t="shared" si="31"/>
        <v>-0.4330000000045402</v>
      </c>
      <c r="M125" s="37"/>
    </row>
    <row r="126" ht="12.75" collapsed="1"/>
    <row r="127" ht="12.75">
      <c r="L127" s="41"/>
    </row>
    <row r="129" ht="12.75">
      <c r="L129" s="41"/>
    </row>
  </sheetData>
  <sheetProtection/>
  <autoFilter ref="A4:M104"/>
  <mergeCells count="1">
    <mergeCell ref="A1:M1"/>
  </mergeCells>
  <conditionalFormatting sqref="M85 M62 M64 M54 M26 M19 M3:M4 M6 M13 M24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6299212598425197" header="0.31496062992125984" footer="0.1968503937007874"/>
  <pageSetup firstPageNumber="4" useFirstPageNumber="1" fitToHeight="0" fitToWidth="1" horizontalDpi="600" verticalDpi="600" orientation="landscape" paperSize="9" scale="73" r:id="rId1"/>
  <headerFooter alignWithMargins="0">
    <oddHeader>&amp;R&amp;16Appendix 2</oddHeader>
    <oddFooter>&amp;C&amp;P</oddFooter>
  </headerFooter>
  <rowBreaks count="1" manualBreakCount="1">
    <brk id="50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9"/>
  <sheetViews>
    <sheetView tabSelected="1" zoomScale="70" zoomScaleNormal="70" zoomScalePageLayoutView="0" workbookViewId="0" topLeftCell="A1">
      <pane xSplit="1" ySplit="4" topLeftCell="B5" activePane="bottomRight" state="frozen"/>
      <selection pane="topLeft" activeCell="M103" sqref="A3:M103"/>
      <selection pane="topRight" activeCell="M103" sqref="A3:M103"/>
      <selection pane="bottomLeft" activeCell="M103" sqref="A3:M103"/>
      <selection pane="bottomRight" activeCell="M103" sqref="A3:M103"/>
    </sheetView>
  </sheetViews>
  <sheetFormatPr defaultColWidth="9.140625" defaultRowHeight="12.75" outlineLevelRow="1"/>
  <cols>
    <col min="1" max="1" width="40.28125" style="40" customWidth="1"/>
    <col min="2" max="2" width="18.00390625" style="29" customWidth="1"/>
    <col min="3" max="3" width="15.28125" style="29" bestFit="1" customWidth="1"/>
    <col min="4" max="4" width="16.7109375" style="29" hidden="1" customWidth="1"/>
    <col min="5" max="5" width="14.7109375" style="29" customWidth="1"/>
    <col min="6" max="9" width="12.7109375" style="29" customWidth="1"/>
    <col min="10" max="11" width="14.140625" style="29" customWidth="1"/>
    <col min="12" max="12" width="17.421875" style="29" customWidth="1"/>
    <col min="13" max="13" width="11.7109375" style="27" customWidth="1"/>
    <col min="14" max="14" width="2.140625" style="29" customWidth="1"/>
    <col min="15" max="16384" width="9.140625" style="29" customWidth="1"/>
  </cols>
  <sheetData>
    <row r="1" spans="1:13" ht="27.75">
      <c r="A1" s="113" t="s">
        <v>115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8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32.25" customHeight="1">
      <c r="A3" s="18"/>
      <c r="B3" s="1" t="s">
        <v>91</v>
      </c>
      <c r="C3" s="49" t="s">
        <v>11</v>
      </c>
      <c r="D3" s="97" t="s">
        <v>12</v>
      </c>
      <c r="E3" s="50" t="s">
        <v>34</v>
      </c>
      <c r="F3" s="62" t="s">
        <v>26</v>
      </c>
      <c r="G3" s="50" t="s">
        <v>27</v>
      </c>
      <c r="H3" s="62" t="s">
        <v>28</v>
      </c>
      <c r="I3" s="50" t="s">
        <v>29</v>
      </c>
      <c r="J3" s="62" t="s">
        <v>30</v>
      </c>
      <c r="K3" s="50" t="s">
        <v>74</v>
      </c>
      <c r="L3" s="1" t="s">
        <v>92</v>
      </c>
      <c r="M3" s="51" t="s">
        <v>69</v>
      </c>
    </row>
    <row r="4" spans="1:13" ht="13.5" customHeight="1">
      <c r="A4" s="5"/>
      <c r="B4" s="92" t="s">
        <v>54</v>
      </c>
      <c r="C4" s="71" t="s">
        <v>54</v>
      </c>
      <c r="D4" s="109"/>
      <c r="E4" s="71" t="s">
        <v>54</v>
      </c>
      <c r="F4" s="91" t="s">
        <v>54</v>
      </c>
      <c r="G4" s="71" t="s">
        <v>54</v>
      </c>
      <c r="H4" s="91" t="s">
        <v>54</v>
      </c>
      <c r="I4" s="71" t="s">
        <v>54</v>
      </c>
      <c r="J4" s="91" t="s">
        <v>54</v>
      </c>
      <c r="K4" s="71" t="s">
        <v>54</v>
      </c>
      <c r="L4" s="96" t="s">
        <v>54</v>
      </c>
      <c r="M4" s="82"/>
    </row>
    <row r="5" spans="1:13" s="31" customFormat="1" ht="15.75">
      <c r="A5" s="52" t="s">
        <v>41</v>
      </c>
      <c r="B5" s="25">
        <f>+B7+B14+B20</f>
        <v>26.02599999999984</v>
      </c>
      <c r="C5" s="30">
        <f>+C7+C14+C20</f>
        <v>0</v>
      </c>
      <c r="D5" s="26">
        <f>+D7+D14+D20</f>
        <v>0</v>
      </c>
      <c r="E5" s="30">
        <f aca="true" t="shared" si="0" ref="E5:K5">+E7+E14+E20</f>
        <v>0</v>
      </c>
      <c r="F5" s="26">
        <f t="shared" si="0"/>
        <v>-80</v>
      </c>
      <c r="G5" s="30">
        <f t="shared" si="0"/>
        <v>-26</v>
      </c>
      <c r="H5" s="26">
        <f t="shared" si="0"/>
        <v>2</v>
      </c>
      <c r="I5" s="30">
        <f t="shared" si="0"/>
        <v>-176</v>
      </c>
      <c r="J5" s="26">
        <f t="shared" si="0"/>
        <v>-10</v>
      </c>
      <c r="K5" s="30">
        <f t="shared" si="0"/>
        <v>-25</v>
      </c>
      <c r="L5" s="25">
        <f>+L7+L14+L20</f>
        <v>-288.97400000000016</v>
      </c>
      <c r="M5" s="53">
        <f>+(L5-B5)/B5</f>
        <v>-12.103281334050639</v>
      </c>
    </row>
    <row r="6" spans="1:13" ht="12.75">
      <c r="A6" s="5"/>
      <c r="B6" s="9"/>
      <c r="C6" s="33"/>
      <c r="D6" s="10"/>
      <c r="E6" s="33"/>
      <c r="F6" s="10"/>
      <c r="G6" s="33"/>
      <c r="H6" s="10"/>
      <c r="I6" s="33"/>
      <c r="J6" s="10"/>
      <c r="K6" s="33"/>
      <c r="L6" s="9"/>
      <c r="M6" s="54"/>
    </row>
    <row r="7" spans="1:13" ht="12.75">
      <c r="A7" s="5" t="s">
        <v>42</v>
      </c>
      <c r="B7" s="9">
        <f aca="true" t="shared" si="1" ref="B7:K7">+SUM(B8:B12)</f>
        <v>1690.1580000000001</v>
      </c>
      <c r="C7" s="34">
        <f t="shared" si="1"/>
        <v>0</v>
      </c>
      <c r="D7" s="11">
        <f t="shared" si="1"/>
        <v>0</v>
      </c>
      <c r="E7" s="34">
        <f t="shared" si="1"/>
        <v>0</v>
      </c>
      <c r="F7" s="11">
        <f t="shared" si="1"/>
        <v>-90</v>
      </c>
      <c r="G7" s="34">
        <f t="shared" si="1"/>
        <v>0</v>
      </c>
      <c r="H7" s="11">
        <f t="shared" si="1"/>
        <v>0</v>
      </c>
      <c r="I7" s="34">
        <f t="shared" si="1"/>
        <v>-2</v>
      </c>
      <c r="J7" s="11">
        <f t="shared" si="1"/>
        <v>-10</v>
      </c>
      <c r="K7" s="34">
        <f t="shared" si="1"/>
        <v>-25</v>
      </c>
      <c r="L7" s="9">
        <f>+SUM(L8:L12)</f>
        <v>1563.1580000000001</v>
      </c>
      <c r="M7" s="55">
        <f aca="true" t="shared" si="2" ref="M7:M12">+(L7-B7)/B7</f>
        <v>-0.0751409039864912</v>
      </c>
    </row>
    <row r="8" spans="1:13" ht="12.75">
      <c r="A8" s="2" t="s">
        <v>43</v>
      </c>
      <c r="B8" s="12">
        <f>'2015-16'!L8</f>
        <v>2.831999999999999</v>
      </c>
      <c r="C8" s="36"/>
      <c r="D8" s="13"/>
      <c r="E8" s="36"/>
      <c r="F8" s="13"/>
      <c r="G8" s="36"/>
      <c r="H8" s="13"/>
      <c r="I8" s="36"/>
      <c r="J8" s="13">
        <v>-10</v>
      </c>
      <c r="K8" s="36"/>
      <c r="L8" s="12">
        <f>+B8+SUM(C8:K8)</f>
        <v>-7.168000000000001</v>
      </c>
      <c r="M8" s="56">
        <f t="shared" si="2"/>
        <v>-3.5310734463276847</v>
      </c>
    </row>
    <row r="9" spans="1:13" ht="12.75">
      <c r="A9" s="2" t="s">
        <v>44</v>
      </c>
      <c r="B9" s="12">
        <f>'2015-16'!L9</f>
        <v>83.215</v>
      </c>
      <c r="C9" s="36"/>
      <c r="D9" s="13"/>
      <c r="E9" s="36"/>
      <c r="F9" s="13"/>
      <c r="G9" s="36"/>
      <c r="H9" s="13"/>
      <c r="I9" s="36">
        <v>-2</v>
      </c>
      <c r="J9" s="13"/>
      <c r="K9" s="36"/>
      <c r="L9" s="12">
        <f>+B9+SUM(C9:K9)</f>
        <v>81.215</v>
      </c>
      <c r="M9" s="56">
        <f t="shared" si="2"/>
        <v>-0.02403412846241663</v>
      </c>
    </row>
    <row r="10" spans="1:13" ht="12.75">
      <c r="A10" s="2" t="s">
        <v>68</v>
      </c>
      <c r="B10" s="12">
        <f>'2015-16'!L10</f>
        <v>607.817</v>
      </c>
      <c r="C10" s="36"/>
      <c r="D10" s="13"/>
      <c r="E10" s="36"/>
      <c r="F10" s="13">
        <v>-90</v>
      </c>
      <c r="G10" s="36"/>
      <c r="H10" s="13"/>
      <c r="I10" s="36"/>
      <c r="J10" s="13"/>
      <c r="K10" s="36"/>
      <c r="L10" s="12">
        <f>+B10+SUM(C10:K10)</f>
        <v>517.817</v>
      </c>
      <c r="M10" s="56">
        <f t="shared" si="2"/>
        <v>-0.14807088317700887</v>
      </c>
    </row>
    <row r="11" spans="1:13" ht="12.75">
      <c r="A11" s="2" t="s">
        <v>45</v>
      </c>
      <c r="B11" s="12">
        <f>'2015-16'!L11</f>
        <v>-28.173</v>
      </c>
      <c r="C11" s="36"/>
      <c r="D11" s="13"/>
      <c r="E11" s="36"/>
      <c r="F11" s="13"/>
      <c r="G11" s="36"/>
      <c r="H11" s="13"/>
      <c r="I11" s="36"/>
      <c r="J11" s="13"/>
      <c r="K11" s="36"/>
      <c r="L11" s="12">
        <f>+B11+SUM(C11:K11)</f>
        <v>-28.173</v>
      </c>
      <c r="M11" s="56">
        <f t="shared" si="2"/>
        <v>0</v>
      </c>
    </row>
    <row r="12" spans="1:13" ht="12.75">
      <c r="A12" s="2" t="s">
        <v>61</v>
      </c>
      <c r="B12" s="12">
        <f>'2015-16'!L12</f>
        <v>1024.467</v>
      </c>
      <c r="C12" s="36"/>
      <c r="D12" s="13"/>
      <c r="E12" s="36"/>
      <c r="F12" s="13"/>
      <c r="G12" s="36"/>
      <c r="H12" s="13"/>
      <c r="I12" s="36"/>
      <c r="J12" s="13"/>
      <c r="K12" s="36">
        <v>-25</v>
      </c>
      <c r="L12" s="12">
        <f>+B12+SUM(C12:K12)</f>
        <v>999.4670000000001</v>
      </c>
      <c r="M12" s="56">
        <f t="shared" si="2"/>
        <v>-0.024402933427821488</v>
      </c>
    </row>
    <row r="13" spans="1:13" ht="12.75">
      <c r="A13" s="5"/>
      <c r="B13" s="9"/>
      <c r="C13" s="33"/>
      <c r="D13" s="10"/>
      <c r="E13" s="33"/>
      <c r="F13" s="10"/>
      <c r="G13" s="33"/>
      <c r="H13" s="10"/>
      <c r="I13" s="33"/>
      <c r="J13" s="10"/>
      <c r="K13" s="33"/>
      <c r="L13" s="9"/>
      <c r="M13" s="54"/>
    </row>
    <row r="14" spans="1:13" ht="12.75">
      <c r="A14" s="7" t="s">
        <v>102</v>
      </c>
      <c r="B14" s="9">
        <f aca="true" t="shared" si="3" ref="B14:K14">+SUM(B15:B18)</f>
        <v>-5358.862</v>
      </c>
      <c r="C14" s="33">
        <f t="shared" si="3"/>
        <v>0</v>
      </c>
      <c r="D14" s="10">
        <f t="shared" si="3"/>
        <v>0</v>
      </c>
      <c r="E14" s="33">
        <f t="shared" si="3"/>
        <v>0</v>
      </c>
      <c r="F14" s="10">
        <f t="shared" si="3"/>
        <v>0</v>
      </c>
      <c r="G14" s="33">
        <f t="shared" si="3"/>
        <v>0</v>
      </c>
      <c r="H14" s="10">
        <f t="shared" si="3"/>
        <v>2</v>
      </c>
      <c r="I14" s="33">
        <f t="shared" si="3"/>
        <v>-74</v>
      </c>
      <c r="J14" s="10">
        <f t="shared" si="3"/>
        <v>0</v>
      </c>
      <c r="K14" s="33">
        <f t="shared" si="3"/>
        <v>0</v>
      </c>
      <c r="L14" s="9">
        <f>+SUM(L15:L18)</f>
        <v>-5430.862</v>
      </c>
      <c r="M14" s="55">
        <f>+(L14-B14)/B14</f>
        <v>0.013435688398021818</v>
      </c>
    </row>
    <row r="15" spans="1:13" ht="12.75">
      <c r="A15" s="4" t="s">
        <v>62</v>
      </c>
      <c r="B15" s="12">
        <f>'2015-16'!L15</f>
        <v>-6619.113</v>
      </c>
      <c r="C15" s="39"/>
      <c r="D15" s="15"/>
      <c r="E15" s="39"/>
      <c r="F15" s="15"/>
      <c r="G15" s="39"/>
      <c r="H15" s="15">
        <v>2</v>
      </c>
      <c r="I15" s="39">
        <v>-74</v>
      </c>
      <c r="J15" s="15"/>
      <c r="K15" s="39"/>
      <c r="L15" s="12">
        <f>+B15+SUM(C15:K15)</f>
        <v>-6691.113</v>
      </c>
      <c r="M15" s="56">
        <f>+(L15-B15)/B15</f>
        <v>0.01087759039617544</v>
      </c>
    </row>
    <row r="16" spans="1:13" ht="12.75">
      <c r="A16" s="4" t="s">
        <v>63</v>
      </c>
      <c r="B16" s="12">
        <f>'2015-16'!L16</f>
        <v>487.539</v>
      </c>
      <c r="C16" s="39"/>
      <c r="D16" s="15"/>
      <c r="E16" s="39"/>
      <c r="F16" s="15"/>
      <c r="G16" s="39"/>
      <c r="H16" s="15"/>
      <c r="I16" s="39"/>
      <c r="J16" s="15"/>
      <c r="K16" s="39"/>
      <c r="L16" s="12">
        <f>+B16+SUM(C16:K16)</f>
        <v>487.539</v>
      </c>
      <c r="M16" s="56">
        <f>+(L16-B16)/B16</f>
        <v>0</v>
      </c>
    </row>
    <row r="17" spans="1:13" ht="12.75">
      <c r="A17" s="4" t="s">
        <v>64</v>
      </c>
      <c r="B17" s="12">
        <f>'2015-16'!L17</f>
        <v>306.045</v>
      </c>
      <c r="C17" s="39"/>
      <c r="D17" s="15"/>
      <c r="E17" s="39"/>
      <c r="F17" s="15"/>
      <c r="G17" s="39"/>
      <c r="H17" s="15"/>
      <c r="I17" s="39"/>
      <c r="J17" s="15"/>
      <c r="K17" s="39"/>
      <c r="L17" s="12">
        <f>+B17+SUM(C17:K17)</f>
        <v>306.045</v>
      </c>
      <c r="M17" s="56">
        <f>+(L17-B17)/B17</f>
        <v>0</v>
      </c>
    </row>
    <row r="18" spans="1:13" ht="12.75">
      <c r="A18" s="4" t="s">
        <v>68</v>
      </c>
      <c r="B18" s="12">
        <f>'2015-16'!L18</f>
        <v>466.66700000000003</v>
      </c>
      <c r="C18" s="39"/>
      <c r="D18" s="15"/>
      <c r="E18" s="39"/>
      <c r="F18" s="15"/>
      <c r="G18" s="39"/>
      <c r="H18" s="15"/>
      <c r="I18" s="39"/>
      <c r="J18" s="15"/>
      <c r="K18" s="39"/>
      <c r="L18" s="12">
        <f>+B18+SUM(C18:K18)</f>
        <v>466.66700000000003</v>
      </c>
      <c r="M18" s="56">
        <f>+(L18-B18)/B18</f>
        <v>0</v>
      </c>
    </row>
    <row r="19" spans="1:13" ht="12.75">
      <c r="A19" s="6"/>
      <c r="B19" s="9"/>
      <c r="C19" s="33"/>
      <c r="D19" s="10"/>
      <c r="E19" s="33"/>
      <c r="F19" s="10"/>
      <c r="G19" s="33"/>
      <c r="H19" s="10"/>
      <c r="I19" s="33"/>
      <c r="J19" s="10"/>
      <c r="K19" s="33"/>
      <c r="L19" s="9"/>
      <c r="M19" s="54"/>
    </row>
    <row r="20" spans="1:13" ht="12.75">
      <c r="A20" s="7" t="s">
        <v>103</v>
      </c>
      <c r="B20" s="9">
        <f>+SUM(B21:B23)</f>
        <v>3694.7299999999996</v>
      </c>
      <c r="C20" s="33">
        <f>+SUM(C21:C22)</f>
        <v>0</v>
      </c>
      <c r="D20" s="10">
        <f>+SUM(D21:D22)</f>
        <v>0</v>
      </c>
      <c r="E20" s="33">
        <f aca="true" t="shared" si="4" ref="E20:L20">+SUM(E21:E23)</f>
        <v>0</v>
      </c>
      <c r="F20" s="10">
        <f t="shared" si="4"/>
        <v>10</v>
      </c>
      <c r="G20" s="33">
        <f t="shared" si="4"/>
        <v>-26</v>
      </c>
      <c r="H20" s="10">
        <f t="shared" si="4"/>
        <v>0</v>
      </c>
      <c r="I20" s="33">
        <f t="shared" si="4"/>
        <v>-100</v>
      </c>
      <c r="J20" s="10">
        <f t="shared" si="4"/>
        <v>0</v>
      </c>
      <c r="K20" s="33">
        <f t="shared" si="4"/>
        <v>0</v>
      </c>
      <c r="L20" s="9">
        <f t="shared" si="4"/>
        <v>3578.7299999999996</v>
      </c>
      <c r="M20" s="55">
        <f>+(L20-B20)/B20</f>
        <v>-0.03139606953688091</v>
      </c>
    </row>
    <row r="21" spans="1:13" ht="12.75">
      <c r="A21" s="3" t="s">
        <v>17</v>
      </c>
      <c r="B21" s="12">
        <f>'2015-16'!L21</f>
        <v>644.0350000000001</v>
      </c>
      <c r="C21" s="39"/>
      <c r="D21" s="15"/>
      <c r="E21" s="39"/>
      <c r="F21" s="15"/>
      <c r="G21" s="39">
        <v>-6</v>
      </c>
      <c r="H21" s="15"/>
      <c r="I21" s="39"/>
      <c r="J21" s="15"/>
      <c r="K21" s="39"/>
      <c r="L21" s="12">
        <f>+B21+SUM(C21:K21)</f>
        <v>638.0350000000001</v>
      </c>
      <c r="M21" s="56">
        <f>+(L21-B21)/B21</f>
        <v>-0.009316263867646944</v>
      </c>
    </row>
    <row r="22" spans="1:13" ht="12.75">
      <c r="A22" s="3" t="s">
        <v>18</v>
      </c>
      <c r="B22" s="12">
        <f>'2015-16'!L22</f>
        <v>3756.107</v>
      </c>
      <c r="C22" s="39"/>
      <c r="D22" s="15"/>
      <c r="E22" s="39"/>
      <c r="F22" s="15"/>
      <c r="G22" s="39">
        <v>-10</v>
      </c>
      <c r="H22" s="15"/>
      <c r="I22" s="39"/>
      <c r="J22" s="15"/>
      <c r="K22" s="39"/>
      <c r="L22" s="12">
        <f>+B22+SUM(C22:K22)</f>
        <v>3746.107</v>
      </c>
      <c r="M22" s="56">
        <f>+(L22-B22)/B22</f>
        <v>-0.0026623309719345056</v>
      </c>
    </row>
    <row r="23" spans="1:13" ht="12.75">
      <c r="A23" s="3" t="s">
        <v>106</v>
      </c>
      <c r="B23" s="14">
        <f>'2015-16'!L23</f>
        <v>-705.412</v>
      </c>
      <c r="C23" s="33"/>
      <c r="D23" s="10"/>
      <c r="E23" s="33"/>
      <c r="F23" s="15">
        <v>10</v>
      </c>
      <c r="G23" s="39">
        <f>-10</f>
        <v>-10</v>
      </c>
      <c r="H23" s="10"/>
      <c r="I23" s="39">
        <v>-100</v>
      </c>
      <c r="J23" s="10"/>
      <c r="K23" s="33"/>
      <c r="L23" s="12">
        <f>+B23+SUM(C23:K23)</f>
        <v>-805.412</v>
      </c>
      <c r="M23" s="56">
        <f>+(L23-B23)/B23</f>
        <v>0.14176112683084494</v>
      </c>
    </row>
    <row r="24" spans="1:13" s="31" customFormat="1" ht="15">
      <c r="A24" s="5"/>
      <c r="B24" s="9"/>
      <c r="C24" s="33"/>
      <c r="D24" s="10"/>
      <c r="E24" s="33"/>
      <c r="F24" s="10"/>
      <c r="G24" s="33"/>
      <c r="H24" s="10"/>
      <c r="I24" s="33"/>
      <c r="J24" s="10"/>
      <c r="K24" s="33"/>
      <c r="L24" s="9"/>
      <c r="M24" s="54"/>
    </row>
    <row r="25" spans="1:13" ht="31.5">
      <c r="A25" s="57" t="s">
        <v>75</v>
      </c>
      <c r="B25" s="25">
        <f aca="true" t="shared" si="5" ref="B25:L25">+B27+B34+B41+B48+B55</f>
        <v>5389.522999999999</v>
      </c>
      <c r="C25" s="30">
        <f t="shared" si="5"/>
        <v>0</v>
      </c>
      <c r="D25" s="26">
        <f t="shared" si="5"/>
        <v>0</v>
      </c>
      <c r="E25" s="30">
        <f t="shared" si="5"/>
        <v>5</v>
      </c>
      <c r="F25" s="26">
        <f t="shared" si="5"/>
        <v>-40</v>
      </c>
      <c r="G25" s="30">
        <f t="shared" si="5"/>
        <v>-258</v>
      </c>
      <c r="H25" s="26">
        <f t="shared" si="5"/>
        <v>-38</v>
      </c>
      <c r="I25" s="30">
        <f t="shared" si="5"/>
        <v>-57</v>
      </c>
      <c r="J25" s="26">
        <f t="shared" si="5"/>
        <v>0</v>
      </c>
      <c r="K25" s="30">
        <f t="shared" si="5"/>
        <v>-360</v>
      </c>
      <c r="L25" s="25">
        <f t="shared" si="5"/>
        <v>4641.522999999999</v>
      </c>
      <c r="M25" s="53">
        <f>+(L25-B25)/B25</f>
        <v>-0.13878779253748433</v>
      </c>
    </row>
    <row r="26" spans="1:13" ht="12.75">
      <c r="A26" s="5"/>
      <c r="B26" s="9"/>
      <c r="C26" s="33"/>
      <c r="D26" s="10"/>
      <c r="E26" s="33"/>
      <c r="F26" s="10"/>
      <c r="G26" s="33"/>
      <c r="H26" s="10"/>
      <c r="I26" s="33"/>
      <c r="J26" s="10"/>
      <c r="K26" s="33"/>
      <c r="L26" s="12"/>
      <c r="M26" s="54"/>
    </row>
    <row r="27" spans="1:13" ht="12.75">
      <c r="A27" s="5" t="s">
        <v>31</v>
      </c>
      <c r="B27" s="9">
        <f>+SUM(B28:B33)</f>
        <v>194.52299999999997</v>
      </c>
      <c r="C27" s="34">
        <f>+SUM(C28:C33)</f>
        <v>0</v>
      </c>
      <c r="D27" s="11">
        <f>+SUM(D28:D33)</f>
        <v>0</v>
      </c>
      <c r="E27" s="34">
        <f>+SUM(E28:E33)</f>
        <v>0</v>
      </c>
      <c r="F27" s="11">
        <f aca="true" t="shared" si="6" ref="F27:K27">+SUM(F28:F33)</f>
        <v>0</v>
      </c>
      <c r="G27" s="34">
        <f t="shared" si="6"/>
        <v>0</v>
      </c>
      <c r="H27" s="11">
        <f t="shared" si="6"/>
        <v>0</v>
      </c>
      <c r="I27" s="34">
        <f t="shared" si="6"/>
        <v>0</v>
      </c>
      <c r="J27" s="11">
        <f t="shared" si="6"/>
        <v>0</v>
      </c>
      <c r="K27" s="34">
        <f t="shared" si="6"/>
        <v>0</v>
      </c>
      <c r="L27" s="9">
        <f>+SUM(L28:L33)</f>
        <v>194.52299999999997</v>
      </c>
      <c r="M27" s="55">
        <f aca="true" t="shared" si="7" ref="M27:M32">+(L27-B27)/B27</f>
        <v>0</v>
      </c>
    </row>
    <row r="28" spans="1:13" ht="12.75">
      <c r="A28" s="2" t="s">
        <v>33</v>
      </c>
      <c r="B28" s="12">
        <f>'2015-16'!L28</f>
        <v>3.0090000000000003</v>
      </c>
      <c r="C28" s="39"/>
      <c r="D28" s="15"/>
      <c r="E28" s="39"/>
      <c r="F28" s="15"/>
      <c r="G28" s="39"/>
      <c r="H28" s="15"/>
      <c r="I28" s="39"/>
      <c r="J28" s="15"/>
      <c r="K28" s="39"/>
      <c r="L28" s="12">
        <f>+B28+SUM(C28:K28)</f>
        <v>3.0090000000000003</v>
      </c>
      <c r="M28" s="56">
        <f t="shared" si="7"/>
        <v>0</v>
      </c>
    </row>
    <row r="29" spans="1:13" ht="12.75">
      <c r="A29" s="2" t="s">
        <v>35</v>
      </c>
      <c r="B29" s="12">
        <f>'2015-16'!L29</f>
        <v>0.03</v>
      </c>
      <c r="C29" s="39"/>
      <c r="D29" s="15"/>
      <c r="E29" s="39"/>
      <c r="F29" s="15"/>
      <c r="G29" s="39"/>
      <c r="H29" s="15"/>
      <c r="I29" s="39"/>
      <c r="J29" s="15"/>
      <c r="K29" s="39"/>
      <c r="L29" s="12">
        <f>+B29+SUM(C29:K29)</f>
        <v>0.03</v>
      </c>
      <c r="M29" s="56">
        <f t="shared" si="7"/>
        <v>0</v>
      </c>
    </row>
    <row r="30" spans="1:13" ht="12.75">
      <c r="A30" s="2" t="s">
        <v>32</v>
      </c>
      <c r="B30" s="12">
        <f>'2015-16'!L30</f>
        <v>56.317</v>
      </c>
      <c r="C30" s="39"/>
      <c r="D30" s="15"/>
      <c r="E30" s="39"/>
      <c r="F30" s="15"/>
      <c r="G30" s="39"/>
      <c r="H30" s="15"/>
      <c r="I30" s="39"/>
      <c r="J30" s="15"/>
      <c r="K30" s="39"/>
      <c r="L30" s="12">
        <f>+B30+SUM(C30:K30)</f>
        <v>56.317</v>
      </c>
      <c r="M30" s="56">
        <f t="shared" si="7"/>
        <v>0</v>
      </c>
    </row>
    <row r="31" spans="1:13" ht="12.75">
      <c r="A31" s="2" t="s">
        <v>36</v>
      </c>
      <c r="B31" s="12">
        <f>'2015-16'!L31</f>
        <v>176.77999999999997</v>
      </c>
      <c r="C31" s="39"/>
      <c r="D31" s="15"/>
      <c r="E31" s="39"/>
      <c r="F31" s="15"/>
      <c r="G31" s="39"/>
      <c r="H31" s="15"/>
      <c r="I31" s="39"/>
      <c r="J31" s="15"/>
      <c r="K31" s="39"/>
      <c r="L31" s="12">
        <f>+B31+SUM(C31:K31)</f>
        <v>176.77999999999997</v>
      </c>
      <c r="M31" s="56">
        <f t="shared" si="7"/>
        <v>0</v>
      </c>
    </row>
    <row r="32" spans="1:13" ht="12.75">
      <c r="A32" s="2" t="s">
        <v>19</v>
      </c>
      <c r="B32" s="12">
        <f>'2015-16'!L32</f>
        <v>-41.613</v>
      </c>
      <c r="C32" s="39"/>
      <c r="D32" s="15"/>
      <c r="E32" s="39"/>
      <c r="F32" s="15"/>
      <c r="G32" s="39"/>
      <c r="H32" s="15"/>
      <c r="I32" s="39"/>
      <c r="J32" s="15"/>
      <c r="K32" s="39"/>
      <c r="L32" s="12">
        <f>+B32+SUM(C32:K32)</f>
        <v>-41.613</v>
      </c>
      <c r="M32" s="56">
        <f t="shared" si="7"/>
        <v>0</v>
      </c>
    </row>
    <row r="33" spans="1:13" ht="12.75">
      <c r="A33" s="2"/>
      <c r="B33" s="12"/>
      <c r="C33" s="39"/>
      <c r="D33" s="15"/>
      <c r="E33" s="39"/>
      <c r="F33" s="15"/>
      <c r="G33" s="39"/>
      <c r="H33" s="15"/>
      <c r="I33" s="39"/>
      <c r="J33" s="15"/>
      <c r="K33" s="39"/>
      <c r="L33" s="12"/>
      <c r="M33" s="56"/>
    </row>
    <row r="34" spans="1:13" ht="15.75" customHeight="1">
      <c r="A34" s="5" t="s">
        <v>76</v>
      </c>
      <c r="B34" s="9">
        <f>SUM(B35:B39)</f>
        <v>1104.8890000000001</v>
      </c>
      <c r="C34" s="33">
        <f>SUM(C35:C39)</f>
        <v>0</v>
      </c>
      <c r="D34" s="10">
        <f>SUM(D35:D39)</f>
        <v>0</v>
      </c>
      <c r="E34" s="33">
        <f>SUM(E35:E39)</f>
        <v>5</v>
      </c>
      <c r="F34" s="10">
        <f aca="true" t="shared" si="8" ref="F34:L34">SUM(F35:F39)</f>
        <v>0</v>
      </c>
      <c r="G34" s="33">
        <f t="shared" si="8"/>
        <v>-170</v>
      </c>
      <c r="H34" s="10">
        <f t="shared" si="8"/>
        <v>0</v>
      </c>
      <c r="I34" s="33">
        <f t="shared" si="8"/>
        <v>-7</v>
      </c>
      <c r="J34" s="10">
        <f t="shared" si="8"/>
        <v>0</v>
      </c>
      <c r="K34" s="33">
        <f t="shared" si="8"/>
        <v>-150</v>
      </c>
      <c r="L34" s="9">
        <f t="shared" si="8"/>
        <v>782.889</v>
      </c>
      <c r="M34" s="55">
        <f aca="true" t="shared" si="9" ref="M34:M39">+(L34-B34)/B34</f>
        <v>-0.2914319900008056</v>
      </c>
    </row>
    <row r="35" spans="1:13" ht="12.75">
      <c r="A35" s="99" t="s">
        <v>94</v>
      </c>
      <c r="B35" s="12">
        <f>'2015-16'!L35</f>
        <v>-45.525</v>
      </c>
      <c r="C35" s="39"/>
      <c r="D35" s="15"/>
      <c r="E35" s="39"/>
      <c r="F35" s="15"/>
      <c r="G35" s="39">
        <v>-20</v>
      </c>
      <c r="H35" s="15"/>
      <c r="I35" s="39"/>
      <c r="J35" s="15"/>
      <c r="K35" s="39"/>
      <c r="L35" s="12">
        <f>+B35+SUM(C35:K35)</f>
        <v>-65.525</v>
      </c>
      <c r="M35" s="56">
        <f t="shared" si="9"/>
        <v>0.43931905546403094</v>
      </c>
    </row>
    <row r="36" spans="1:13" ht="12.75">
      <c r="A36" s="99" t="s">
        <v>0</v>
      </c>
      <c r="B36" s="12">
        <f>'2015-16'!L36</f>
        <v>535.434</v>
      </c>
      <c r="C36" s="39"/>
      <c r="D36" s="15"/>
      <c r="E36" s="39"/>
      <c r="F36" s="15"/>
      <c r="G36" s="39"/>
      <c r="H36" s="15"/>
      <c r="I36" s="39"/>
      <c r="J36" s="15"/>
      <c r="K36" s="39">
        <v>-150</v>
      </c>
      <c r="L36" s="12">
        <f>+B36+SUM(C36:K36)</f>
        <v>385.43399999999997</v>
      </c>
      <c r="M36" s="56">
        <f t="shared" si="9"/>
        <v>-0.28014657268682974</v>
      </c>
    </row>
    <row r="37" spans="1:13" ht="12.75">
      <c r="A37" s="20" t="s">
        <v>67</v>
      </c>
      <c r="B37" s="12">
        <f>'2015-16'!L37</f>
        <v>-90.748</v>
      </c>
      <c r="C37" s="39"/>
      <c r="D37" s="15"/>
      <c r="E37" s="39"/>
      <c r="F37" s="15"/>
      <c r="G37" s="39"/>
      <c r="H37" s="15"/>
      <c r="I37" s="39"/>
      <c r="J37" s="15"/>
      <c r="K37" s="39"/>
      <c r="L37" s="12">
        <f>+B37+SUM(C37:K37)</f>
        <v>-90.748</v>
      </c>
      <c r="M37" s="56">
        <f t="shared" si="9"/>
        <v>0</v>
      </c>
    </row>
    <row r="38" spans="1:13" ht="12.75">
      <c r="A38" s="99" t="s">
        <v>95</v>
      </c>
      <c r="B38" s="12">
        <f>'2015-16'!L38</f>
        <v>61.007999999999996</v>
      </c>
      <c r="C38" s="39"/>
      <c r="D38" s="15"/>
      <c r="E38" s="39"/>
      <c r="F38" s="15"/>
      <c r="G38" s="39"/>
      <c r="H38" s="15"/>
      <c r="I38" s="39">
        <v>-7</v>
      </c>
      <c r="J38" s="15"/>
      <c r="K38" s="39"/>
      <c r="L38" s="12">
        <f>+B38+SUM(C38:K38)</f>
        <v>54.007999999999996</v>
      </c>
      <c r="M38" s="56">
        <f t="shared" si="9"/>
        <v>-0.11473905061631262</v>
      </c>
    </row>
    <row r="39" spans="1:13" ht="12.75">
      <c r="A39" s="3" t="s">
        <v>77</v>
      </c>
      <c r="B39" s="12">
        <f>'2015-16'!L39</f>
        <v>644.72</v>
      </c>
      <c r="C39" s="39"/>
      <c r="D39" s="15"/>
      <c r="E39" s="39">
        <v>5</v>
      </c>
      <c r="F39" s="15"/>
      <c r="G39" s="39">
        <v>-150</v>
      </c>
      <c r="H39" s="15"/>
      <c r="I39" s="39"/>
      <c r="J39" s="15"/>
      <c r="K39" s="39"/>
      <c r="L39" s="12">
        <f>+B39+SUM(C39:K39)</f>
        <v>499.72</v>
      </c>
      <c r="M39" s="56">
        <f t="shared" si="9"/>
        <v>-0.22490383422260826</v>
      </c>
    </row>
    <row r="40" spans="1:13" ht="12.75">
      <c r="A40" s="20"/>
      <c r="B40" s="14"/>
      <c r="C40" s="39"/>
      <c r="D40" s="15"/>
      <c r="E40" s="39"/>
      <c r="F40" s="15"/>
      <c r="G40" s="39"/>
      <c r="H40" s="15"/>
      <c r="I40" s="39"/>
      <c r="J40" s="15"/>
      <c r="K40" s="39"/>
      <c r="L40" s="12"/>
      <c r="M40" s="56"/>
    </row>
    <row r="41" spans="1:14" ht="12.75">
      <c r="A41" s="5" t="s">
        <v>39</v>
      </c>
      <c r="B41" s="107">
        <f>+SUM(B42:B46)</f>
        <v>3585.4069999999997</v>
      </c>
      <c r="C41" s="33">
        <f>+SUM(C42:C46)</f>
        <v>0</v>
      </c>
      <c r="D41" s="10">
        <f>+SUM(D42:D46)</f>
        <v>0</v>
      </c>
      <c r="E41" s="33">
        <f aca="true" t="shared" si="10" ref="E41:L41">+SUM(E42:E46)</f>
        <v>0</v>
      </c>
      <c r="F41" s="19">
        <f t="shared" si="10"/>
        <v>0</v>
      </c>
      <c r="G41" s="19">
        <f t="shared" si="10"/>
        <v>-85</v>
      </c>
      <c r="H41" s="19">
        <f t="shared" si="10"/>
        <v>-38</v>
      </c>
      <c r="I41" s="19">
        <f t="shared" si="10"/>
        <v>0</v>
      </c>
      <c r="J41" s="19">
        <f t="shared" si="10"/>
        <v>0</v>
      </c>
      <c r="K41" s="19">
        <f t="shared" si="10"/>
        <v>-35</v>
      </c>
      <c r="L41" s="107">
        <f t="shared" si="10"/>
        <v>3427.4069999999997</v>
      </c>
      <c r="M41" s="87">
        <f aca="true" t="shared" si="11" ref="M41:M46">+(L41-B41)/B41</f>
        <v>-0.044067521483613994</v>
      </c>
      <c r="N41" s="105"/>
    </row>
    <row r="42" spans="1:13" ht="12.75">
      <c r="A42" s="3" t="s">
        <v>78</v>
      </c>
      <c r="B42" s="12">
        <f>'2015-16'!L42</f>
        <v>30.015</v>
      </c>
      <c r="C42" s="39"/>
      <c r="D42" s="15"/>
      <c r="E42" s="39"/>
      <c r="F42" s="15"/>
      <c r="G42" s="39"/>
      <c r="H42" s="15"/>
      <c r="I42" s="39"/>
      <c r="J42" s="15"/>
      <c r="K42" s="39"/>
      <c r="L42" s="12">
        <f>+B42+SUM(C42:K42)</f>
        <v>30.015</v>
      </c>
      <c r="M42" s="56">
        <f t="shared" si="11"/>
        <v>0</v>
      </c>
    </row>
    <row r="43" spans="1:13" ht="12.75">
      <c r="A43" s="3" t="s">
        <v>79</v>
      </c>
      <c r="B43" s="12">
        <f>'2015-16'!L43</f>
        <v>-69.494</v>
      </c>
      <c r="C43" s="39"/>
      <c r="D43" s="15"/>
      <c r="E43" s="39"/>
      <c r="F43" s="15"/>
      <c r="G43" s="39">
        <f>-50+-35</f>
        <v>-85</v>
      </c>
      <c r="H43" s="15"/>
      <c r="I43" s="39"/>
      <c r="J43" s="15"/>
      <c r="K43" s="39">
        <v>-35</v>
      </c>
      <c r="L43" s="12">
        <f>+B43+SUM(C43:K43)</f>
        <v>-189.494</v>
      </c>
      <c r="M43" s="56">
        <f t="shared" si="11"/>
        <v>1.726767778513253</v>
      </c>
    </row>
    <row r="44" spans="1:13" ht="12.75">
      <c r="A44" s="3" t="s">
        <v>19</v>
      </c>
      <c r="B44" s="12">
        <f>'2015-16'!L44</f>
        <v>1212.7269999999999</v>
      </c>
      <c r="C44" s="39"/>
      <c r="D44" s="15"/>
      <c r="E44" s="39"/>
      <c r="F44" s="15"/>
      <c r="G44" s="39"/>
      <c r="H44" s="15">
        <v>-38</v>
      </c>
      <c r="I44" s="39"/>
      <c r="J44" s="15"/>
      <c r="K44" s="39"/>
      <c r="L44" s="12">
        <f>+B44+SUM(C44:K44)</f>
        <v>1174.7269999999999</v>
      </c>
      <c r="M44" s="56">
        <f t="shared" si="11"/>
        <v>-0.03133433988028633</v>
      </c>
    </row>
    <row r="45" spans="1:13" ht="12.75">
      <c r="A45" s="3" t="s">
        <v>53</v>
      </c>
      <c r="B45" s="12">
        <f>'2015-16'!L45</f>
        <v>2412.309</v>
      </c>
      <c r="C45" s="39"/>
      <c r="D45" s="15"/>
      <c r="E45" s="39"/>
      <c r="F45" s="15"/>
      <c r="G45" s="39"/>
      <c r="H45" s="15"/>
      <c r="I45" s="39"/>
      <c r="J45" s="15"/>
      <c r="K45" s="39"/>
      <c r="L45" s="12">
        <f>+B45+SUM(C45:K45)</f>
        <v>2412.309</v>
      </c>
      <c r="M45" s="56">
        <f t="shared" si="11"/>
        <v>0</v>
      </c>
    </row>
    <row r="46" spans="1:13" ht="12.75">
      <c r="A46" s="3" t="s">
        <v>80</v>
      </c>
      <c r="B46" s="12">
        <f>'2015-16'!L46</f>
        <v>-0.15</v>
      </c>
      <c r="C46" s="39"/>
      <c r="D46" s="15"/>
      <c r="E46" s="39"/>
      <c r="F46" s="15"/>
      <c r="G46" s="39"/>
      <c r="H46" s="15"/>
      <c r="I46" s="39"/>
      <c r="J46" s="15"/>
      <c r="K46" s="39"/>
      <c r="L46" s="12">
        <f>+B46+SUM(C46:K46)</f>
        <v>-0.15</v>
      </c>
      <c r="M46" s="56">
        <f t="shared" si="11"/>
        <v>0</v>
      </c>
    </row>
    <row r="47" spans="1:13" ht="12.75">
      <c r="A47" s="20"/>
      <c r="B47" s="14"/>
      <c r="C47" s="39"/>
      <c r="D47" s="15"/>
      <c r="E47" s="39"/>
      <c r="F47" s="15"/>
      <c r="G47" s="39"/>
      <c r="H47" s="15"/>
      <c r="I47" s="39"/>
      <c r="J47" s="15"/>
      <c r="K47" s="39"/>
      <c r="L47" s="12"/>
      <c r="M47" s="56"/>
    </row>
    <row r="48" spans="1:13" ht="17.25" customHeight="1">
      <c r="A48" s="5" t="s">
        <v>84</v>
      </c>
      <c r="B48" s="9">
        <f>+SUM(B49:B53)</f>
        <v>507.335</v>
      </c>
      <c r="C48" s="34">
        <f>+SUM(C49:C53)</f>
        <v>0</v>
      </c>
      <c r="D48" s="11">
        <f>+SUM(D49:D53)</f>
        <v>0</v>
      </c>
      <c r="E48" s="34">
        <f>+SUM(E49:E53)</f>
        <v>0</v>
      </c>
      <c r="F48" s="11">
        <f aca="true" t="shared" si="12" ref="F48:L48">+SUM(F49:F53)</f>
        <v>-40</v>
      </c>
      <c r="G48" s="34">
        <f t="shared" si="12"/>
        <v>-3</v>
      </c>
      <c r="H48" s="11">
        <f t="shared" si="12"/>
        <v>0</v>
      </c>
      <c r="I48" s="34">
        <f t="shared" si="12"/>
        <v>-50</v>
      </c>
      <c r="J48" s="11">
        <f t="shared" si="12"/>
        <v>0</v>
      </c>
      <c r="K48" s="34">
        <f t="shared" si="12"/>
        <v>-175</v>
      </c>
      <c r="L48" s="9">
        <f t="shared" si="12"/>
        <v>239.33500000000004</v>
      </c>
      <c r="M48" s="55">
        <f aca="true" t="shared" si="13" ref="M48:M53">+(L48-B48)/B48</f>
        <v>-0.5282505642228507</v>
      </c>
    </row>
    <row r="49" spans="1:13" ht="12.75">
      <c r="A49" s="2" t="s">
        <v>81</v>
      </c>
      <c r="B49" s="12">
        <f>'2015-16'!L49</f>
        <v>174.622</v>
      </c>
      <c r="C49" s="39"/>
      <c r="D49" s="15"/>
      <c r="E49" s="39"/>
      <c r="F49" s="15"/>
      <c r="G49" s="39"/>
      <c r="H49" s="15"/>
      <c r="I49" s="39"/>
      <c r="J49" s="15"/>
      <c r="K49" s="39">
        <v>-75</v>
      </c>
      <c r="L49" s="12">
        <f>+B49+SUM(C49:K49)</f>
        <v>99.62200000000001</v>
      </c>
      <c r="M49" s="56">
        <f t="shared" si="13"/>
        <v>-0.4294991467283618</v>
      </c>
    </row>
    <row r="50" spans="1:13" ht="12.75">
      <c r="A50" s="2" t="s">
        <v>82</v>
      </c>
      <c r="B50" s="12">
        <f>'2015-16'!L50</f>
        <v>0.04</v>
      </c>
      <c r="C50" s="39"/>
      <c r="D50" s="15"/>
      <c r="E50" s="39"/>
      <c r="F50" s="15"/>
      <c r="G50" s="39"/>
      <c r="H50" s="15"/>
      <c r="I50" s="39"/>
      <c r="J50" s="15"/>
      <c r="K50" s="39"/>
      <c r="L50" s="12">
        <f>+B50+SUM(C50:K50)</f>
        <v>0.04</v>
      </c>
      <c r="M50" s="56">
        <f t="shared" si="13"/>
        <v>0</v>
      </c>
    </row>
    <row r="51" spans="1:13" ht="12.75">
      <c r="A51" s="2" t="s">
        <v>37</v>
      </c>
      <c r="B51" s="12">
        <f>'2015-16'!L51</f>
        <v>53.259</v>
      </c>
      <c r="C51" s="39"/>
      <c r="D51" s="15"/>
      <c r="E51" s="39"/>
      <c r="F51" s="15"/>
      <c r="G51" s="39"/>
      <c r="H51" s="15"/>
      <c r="I51" s="39"/>
      <c r="J51" s="15"/>
      <c r="K51" s="39">
        <v>-100</v>
      </c>
      <c r="L51" s="12">
        <f>+B51+SUM(C51:K51)</f>
        <v>-46.741</v>
      </c>
      <c r="M51" s="56">
        <f t="shared" si="13"/>
        <v>-1.8776169285942281</v>
      </c>
    </row>
    <row r="52" spans="1:13" ht="12.75">
      <c r="A52" s="2" t="s">
        <v>38</v>
      </c>
      <c r="B52" s="12">
        <f>'2015-16'!L52</f>
        <v>119.90299999999999</v>
      </c>
      <c r="C52" s="39"/>
      <c r="D52" s="15"/>
      <c r="E52" s="39"/>
      <c r="F52" s="15"/>
      <c r="G52" s="39">
        <v>-2</v>
      </c>
      <c r="H52" s="15"/>
      <c r="I52" s="39"/>
      <c r="J52" s="15"/>
      <c r="K52" s="39"/>
      <c r="L52" s="12">
        <f>+B52+SUM(C52:K52)</f>
        <v>117.90299999999999</v>
      </c>
      <c r="M52" s="56">
        <f t="shared" si="13"/>
        <v>-0.016680149787745097</v>
      </c>
    </row>
    <row r="53" spans="1:13" ht="12.75">
      <c r="A53" s="20" t="s">
        <v>83</v>
      </c>
      <c r="B53" s="12">
        <f>'2015-16'!L53</f>
        <v>159.51100000000002</v>
      </c>
      <c r="C53" s="39"/>
      <c r="D53" s="15"/>
      <c r="E53" s="39"/>
      <c r="F53" s="15">
        <v>-40</v>
      </c>
      <c r="G53" s="39">
        <v>-1</v>
      </c>
      <c r="H53" s="15"/>
      <c r="I53" s="39">
        <v>-50</v>
      </c>
      <c r="J53" s="15"/>
      <c r="K53" s="39"/>
      <c r="L53" s="12">
        <f>+B53+SUM(C53:K53)</f>
        <v>68.51100000000002</v>
      </c>
      <c r="M53" s="56">
        <f t="shared" si="13"/>
        <v>-0.5704935709762963</v>
      </c>
    </row>
    <row r="54" spans="1:13" ht="12.75">
      <c r="A54" s="6"/>
      <c r="B54" s="16"/>
      <c r="C54" s="41"/>
      <c r="D54" s="17"/>
      <c r="E54" s="41"/>
      <c r="F54" s="17"/>
      <c r="G54" s="41"/>
      <c r="H54" s="17"/>
      <c r="I54" s="41"/>
      <c r="J54" s="17"/>
      <c r="K54" s="41"/>
      <c r="L54" s="16"/>
      <c r="M54" s="54"/>
    </row>
    <row r="55" spans="1:13" ht="12.75">
      <c r="A55" s="5" t="s">
        <v>40</v>
      </c>
      <c r="B55" s="9">
        <f aca="true" t="shared" si="14" ref="B55:K55">+SUM(B56:B61)</f>
        <v>-2.6310000000000286</v>
      </c>
      <c r="C55" s="34">
        <f t="shared" si="14"/>
        <v>0</v>
      </c>
      <c r="D55" s="11">
        <f t="shared" si="14"/>
        <v>0</v>
      </c>
      <c r="E55" s="34">
        <f t="shared" si="14"/>
        <v>0</v>
      </c>
      <c r="F55" s="11">
        <f t="shared" si="14"/>
        <v>0</v>
      </c>
      <c r="G55" s="34">
        <f t="shared" si="14"/>
        <v>0</v>
      </c>
      <c r="H55" s="11">
        <f t="shared" si="14"/>
        <v>0</v>
      </c>
      <c r="I55" s="34">
        <f t="shared" si="14"/>
        <v>0</v>
      </c>
      <c r="J55" s="11">
        <f t="shared" si="14"/>
        <v>0</v>
      </c>
      <c r="K55" s="34">
        <f t="shared" si="14"/>
        <v>0</v>
      </c>
      <c r="L55" s="9">
        <f>+SUM(L56:L61)</f>
        <v>-2.6310000000000286</v>
      </c>
      <c r="M55" s="55">
        <f aca="true" t="shared" si="15" ref="M55:M61">+(L55-B55)/B55</f>
        <v>0</v>
      </c>
    </row>
    <row r="56" spans="1:13" ht="12.75">
      <c r="A56" s="3" t="s">
        <v>1</v>
      </c>
      <c r="B56" s="12">
        <f>'2015-16'!L56</f>
        <v>0.44599999999999973</v>
      </c>
      <c r="C56" s="39"/>
      <c r="D56" s="15"/>
      <c r="E56" s="39"/>
      <c r="F56" s="15"/>
      <c r="G56" s="39"/>
      <c r="H56" s="15"/>
      <c r="I56" s="39"/>
      <c r="J56" s="15"/>
      <c r="K56" s="39"/>
      <c r="L56" s="12">
        <f aca="true" t="shared" si="16" ref="L56:L61">+B56+SUM(C56:K56)</f>
        <v>0.44599999999999973</v>
      </c>
      <c r="M56" s="56">
        <f t="shared" si="15"/>
        <v>0</v>
      </c>
    </row>
    <row r="57" spans="1:13" ht="12.75">
      <c r="A57" s="3" t="s">
        <v>2</v>
      </c>
      <c r="B57" s="12">
        <f>'2015-16'!L57</f>
        <v>217.712</v>
      </c>
      <c r="C57" s="39"/>
      <c r="D57" s="15"/>
      <c r="E57" s="39"/>
      <c r="F57" s="15"/>
      <c r="G57" s="39"/>
      <c r="H57" s="15"/>
      <c r="I57" s="39"/>
      <c r="J57" s="15"/>
      <c r="K57" s="39"/>
      <c r="L57" s="12">
        <f t="shared" si="16"/>
        <v>217.712</v>
      </c>
      <c r="M57" s="56">
        <f t="shared" si="15"/>
        <v>0</v>
      </c>
    </row>
    <row r="58" spans="1:13" ht="12.75">
      <c r="A58" s="3" t="s">
        <v>48</v>
      </c>
      <c r="B58" s="12">
        <f>'2015-16'!L58</f>
        <v>97.92099999999999</v>
      </c>
      <c r="C58" s="39"/>
      <c r="D58" s="15"/>
      <c r="E58" s="39"/>
      <c r="F58" s="15"/>
      <c r="G58" s="39"/>
      <c r="H58" s="15"/>
      <c r="I58" s="39"/>
      <c r="J58" s="15"/>
      <c r="K58" s="39"/>
      <c r="L58" s="12">
        <f t="shared" si="16"/>
        <v>97.92099999999999</v>
      </c>
      <c r="M58" s="56">
        <f t="shared" si="15"/>
        <v>0</v>
      </c>
    </row>
    <row r="59" spans="1:13" ht="12.75">
      <c r="A59" s="3" t="s">
        <v>49</v>
      </c>
      <c r="B59" s="12">
        <f>'2015-16'!L59</f>
        <v>4.464</v>
      </c>
      <c r="C59" s="39"/>
      <c r="D59" s="15"/>
      <c r="E59" s="39"/>
      <c r="F59" s="15"/>
      <c r="G59" s="39"/>
      <c r="H59" s="15"/>
      <c r="I59" s="39"/>
      <c r="J59" s="15"/>
      <c r="K59" s="39"/>
      <c r="L59" s="12">
        <f t="shared" si="16"/>
        <v>4.464</v>
      </c>
      <c r="M59" s="56">
        <f t="shared" si="15"/>
        <v>0</v>
      </c>
    </row>
    <row r="60" spans="1:13" ht="12.75">
      <c r="A60" s="3" t="s">
        <v>50</v>
      </c>
      <c r="B60" s="12">
        <f>'2015-16'!L60</f>
        <v>0</v>
      </c>
      <c r="C60" s="39"/>
      <c r="D60" s="15"/>
      <c r="E60" s="39"/>
      <c r="F60" s="15"/>
      <c r="G60" s="39"/>
      <c r="H60" s="15"/>
      <c r="I60" s="39"/>
      <c r="J60" s="15"/>
      <c r="K60" s="39"/>
      <c r="L60" s="12">
        <f t="shared" si="16"/>
        <v>0</v>
      </c>
      <c r="M60" s="56" t="e">
        <f t="shared" si="15"/>
        <v>#DIV/0!</v>
      </c>
    </row>
    <row r="61" spans="1:13" ht="12.75">
      <c r="A61" s="3" t="s">
        <v>51</v>
      </c>
      <c r="B61" s="12">
        <f>'2015-16'!L61</f>
        <v>-323.174</v>
      </c>
      <c r="C61" s="39"/>
      <c r="D61" s="15"/>
      <c r="E61" s="39"/>
      <c r="F61" s="15"/>
      <c r="G61" s="39"/>
      <c r="H61" s="15"/>
      <c r="I61" s="39"/>
      <c r="J61" s="15"/>
      <c r="K61" s="39"/>
      <c r="L61" s="12">
        <f t="shared" si="16"/>
        <v>-323.174</v>
      </c>
      <c r="M61" s="56">
        <f t="shared" si="15"/>
        <v>0</v>
      </c>
    </row>
    <row r="62" spans="1:13" ht="12.75">
      <c r="A62" s="20"/>
      <c r="B62" s="12"/>
      <c r="C62" s="36"/>
      <c r="D62" s="13"/>
      <c r="E62" s="36"/>
      <c r="F62" s="13"/>
      <c r="G62" s="36"/>
      <c r="H62" s="13"/>
      <c r="I62" s="36"/>
      <c r="J62" s="13"/>
      <c r="K62" s="36"/>
      <c r="L62" s="12"/>
      <c r="M62" s="54"/>
    </row>
    <row r="63" spans="1:13" s="31" customFormat="1" ht="15.75">
      <c r="A63" s="52" t="s">
        <v>85</v>
      </c>
      <c r="B63" s="25">
        <f aca="true" t="shared" si="17" ref="B63:L63">+B65+B72+B86+B98</f>
        <v>12843.265000000001</v>
      </c>
      <c r="C63" s="30">
        <f t="shared" si="17"/>
        <v>0</v>
      </c>
      <c r="D63" s="26">
        <f t="shared" si="17"/>
        <v>0</v>
      </c>
      <c r="E63" s="30">
        <f t="shared" si="17"/>
        <v>161</v>
      </c>
      <c r="F63" s="26">
        <f t="shared" si="17"/>
        <v>-82</v>
      </c>
      <c r="G63" s="30">
        <f t="shared" si="17"/>
        <v>-198</v>
      </c>
      <c r="H63" s="26">
        <f t="shared" si="17"/>
        <v>0</v>
      </c>
      <c r="I63" s="30">
        <f t="shared" si="17"/>
        <v>-315</v>
      </c>
      <c r="J63" s="26">
        <f t="shared" si="17"/>
        <v>0</v>
      </c>
      <c r="K63" s="30">
        <f t="shared" si="17"/>
        <v>61</v>
      </c>
      <c r="L63" s="25">
        <f t="shared" si="17"/>
        <v>12470.264999999998</v>
      </c>
      <c r="M63" s="53">
        <f>+(L63-B63)/B63</f>
        <v>-0.029042459218898278</v>
      </c>
    </row>
    <row r="64" spans="1:13" ht="12.75">
      <c r="A64" s="6"/>
      <c r="B64" s="16"/>
      <c r="C64" s="41"/>
      <c r="D64" s="17"/>
      <c r="E64" s="41"/>
      <c r="F64" s="17"/>
      <c r="G64" s="41"/>
      <c r="H64" s="17"/>
      <c r="I64" s="41"/>
      <c r="J64" s="17"/>
      <c r="K64" s="41"/>
      <c r="L64" s="16"/>
      <c r="M64" s="54"/>
    </row>
    <row r="65" spans="1:13" ht="12.75">
      <c r="A65" s="5" t="s">
        <v>46</v>
      </c>
      <c r="B65" s="9">
        <f aca="true" t="shared" si="18" ref="B65:L65">+SUM(B66:B71)</f>
        <v>2751.6319999999996</v>
      </c>
      <c r="C65" s="33">
        <f t="shared" si="18"/>
        <v>0</v>
      </c>
      <c r="D65" s="10">
        <f t="shared" si="18"/>
        <v>0</v>
      </c>
      <c r="E65" s="33">
        <f t="shared" si="18"/>
        <v>0</v>
      </c>
      <c r="F65" s="10">
        <f t="shared" si="18"/>
        <v>0</v>
      </c>
      <c r="G65" s="33">
        <f t="shared" si="18"/>
        <v>-45</v>
      </c>
      <c r="H65" s="10">
        <f t="shared" si="18"/>
        <v>0</v>
      </c>
      <c r="I65" s="33">
        <f t="shared" si="18"/>
        <v>-3</v>
      </c>
      <c r="J65" s="10">
        <f t="shared" si="18"/>
        <v>0</v>
      </c>
      <c r="K65" s="33">
        <f t="shared" si="18"/>
        <v>0</v>
      </c>
      <c r="L65" s="9">
        <f t="shared" si="18"/>
        <v>2703.6319999999996</v>
      </c>
      <c r="M65" s="55">
        <f aca="true" t="shared" si="19" ref="M65:M70">+(L65-B65)/B65</f>
        <v>-0.01744419311884729</v>
      </c>
    </row>
    <row r="66" spans="1:13" ht="12.75">
      <c r="A66" s="2" t="s">
        <v>96</v>
      </c>
      <c r="B66" s="12">
        <f>'2015-16'!L66</f>
        <v>735.23</v>
      </c>
      <c r="C66" s="39"/>
      <c r="D66" s="15"/>
      <c r="E66" s="39"/>
      <c r="F66" s="15"/>
      <c r="G66" s="39">
        <v>-45</v>
      </c>
      <c r="H66" s="15"/>
      <c r="I66" s="39"/>
      <c r="J66" s="15"/>
      <c r="K66" s="39"/>
      <c r="L66" s="12">
        <f>+B66+SUM(C66:K66)</f>
        <v>690.23</v>
      </c>
      <c r="M66" s="56">
        <f t="shared" si="19"/>
        <v>-0.06120533710539559</v>
      </c>
    </row>
    <row r="67" spans="1:13" ht="12.75">
      <c r="A67" s="2" t="s">
        <v>47</v>
      </c>
      <c r="B67" s="12">
        <f>'2015-16'!L67</f>
        <v>607.9169999999999</v>
      </c>
      <c r="C67" s="39"/>
      <c r="D67" s="15"/>
      <c r="E67" s="39"/>
      <c r="F67" s="15"/>
      <c r="G67" s="39"/>
      <c r="H67" s="15"/>
      <c r="I67" s="39"/>
      <c r="J67" s="15"/>
      <c r="K67" s="39"/>
      <c r="L67" s="12">
        <f>+B67+SUM(C67:K67)</f>
        <v>607.9169999999999</v>
      </c>
      <c r="M67" s="56">
        <f t="shared" si="19"/>
        <v>0</v>
      </c>
    </row>
    <row r="68" spans="1:13" ht="12.75">
      <c r="A68" s="2" t="s">
        <v>97</v>
      </c>
      <c r="B68" s="12">
        <f>'2015-16'!L68</f>
        <v>1027.097</v>
      </c>
      <c r="C68" s="39"/>
      <c r="D68" s="15"/>
      <c r="E68" s="39"/>
      <c r="F68" s="15"/>
      <c r="G68" s="39"/>
      <c r="H68" s="15"/>
      <c r="I68" s="39">
        <v>-3</v>
      </c>
      <c r="J68" s="15"/>
      <c r="K68" s="39"/>
      <c r="L68" s="12">
        <f>+B68+SUM(C68:K68)</f>
        <v>1024.097</v>
      </c>
      <c r="M68" s="56">
        <f t="shared" si="19"/>
        <v>-0.0029208536292093155</v>
      </c>
    </row>
    <row r="69" spans="1:13" ht="12.75">
      <c r="A69" s="2" t="s">
        <v>105</v>
      </c>
      <c r="B69" s="12">
        <f>'2015-16'!L69</f>
        <v>219.334</v>
      </c>
      <c r="C69" s="39"/>
      <c r="D69" s="15"/>
      <c r="E69" s="39"/>
      <c r="F69" s="15"/>
      <c r="G69" s="39"/>
      <c r="H69" s="15"/>
      <c r="I69" s="39"/>
      <c r="J69" s="15"/>
      <c r="K69" s="39"/>
      <c r="L69" s="12">
        <f>+B69+SUM(C69:K69)</f>
        <v>219.334</v>
      </c>
      <c r="M69" s="56">
        <f t="shared" si="19"/>
        <v>0</v>
      </c>
    </row>
    <row r="70" spans="1:13" ht="12.75">
      <c r="A70" s="2" t="s">
        <v>98</v>
      </c>
      <c r="B70" s="12">
        <f>'2015-16'!L70</f>
        <v>162.054</v>
      </c>
      <c r="C70" s="39"/>
      <c r="D70" s="15"/>
      <c r="E70" s="39"/>
      <c r="F70" s="15"/>
      <c r="G70" s="39"/>
      <c r="H70" s="15"/>
      <c r="I70" s="39"/>
      <c r="J70" s="15"/>
      <c r="K70" s="39"/>
      <c r="L70" s="12">
        <f>+B70+SUM(C70:K70)</f>
        <v>162.054</v>
      </c>
      <c r="M70" s="56">
        <f t="shared" si="19"/>
        <v>0</v>
      </c>
    </row>
    <row r="71" spans="1:13" ht="12.75" customHeight="1">
      <c r="A71" s="6"/>
      <c r="B71" s="12"/>
      <c r="C71" s="39"/>
      <c r="D71" s="15"/>
      <c r="E71" s="39"/>
      <c r="F71" s="15"/>
      <c r="G71" s="39"/>
      <c r="H71" s="15"/>
      <c r="I71" s="39"/>
      <c r="J71" s="15"/>
      <c r="K71" s="39"/>
      <c r="L71" s="12"/>
      <c r="M71" s="56"/>
    </row>
    <row r="72" spans="1:13" ht="12.75">
      <c r="A72" s="5" t="s">
        <v>73</v>
      </c>
      <c r="B72" s="9">
        <f>+SUM(B73:B84)</f>
        <v>2457.7709999999997</v>
      </c>
      <c r="C72" s="33">
        <f>+SUM(C73:C84)</f>
        <v>0</v>
      </c>
      <c r="D72" s="10">
        <f>+SUM(D73:D84)</f>
        <v>0</v>
      </c>
      <c r="E72" s="33">
        <f aca="true" t="shared" si="20" ref="E72:L72">+SUM(E73:E84)</f>
        <v>159</v>
      </c>
      <c r="F72" s="10">
        <f t="shared" si="20"/>
        <v>-82</v>
      </c>
      <c r="G72" s="33">
        <f t="shared" si="20"/>
        <v>-10</v>
      </c>
      <c r="H72" s="10">
        <f t="shared" si="20"/>
        <v>0</v>
      </c>
      <c r="I72" s="33">
        <f t="shared" si="20"/>
        <v>-254</v>
      </c>
      <c r="J72" s="10">
        <f t="shared" si="20"/>
        <v>0</v>
      </c>
      <c r="K72" s="33">
        <f t="shared" si="20"/>
        <v>0</v>
      </c>
      <c r="L72" s="9">
        <f t="shared" si="20"/>
        <v>2270.7709999999997</v>
      </c>
      <c r="M72" s="55">
        <f aca="true" t="shared" si="21" ref="M72:M84">+(L72-B72)/B72</f>
        <v>-0.07608520077745243</v>
      </c>
    </row>
    <row r="73" spans="1:13" ht="12.75">
      <c r="A73" s="21" t="s">
        <v>86</v>
      </c>
      <c r="B73" s="12">
        <f>'2015-16'!L73</f>
        <v>-2631.2999999999997</v>
      </c>
      <c r="C73" s="39"/>
      <c r="D73" s="15"/>
      <c r="E73" s="39"/>
      <c r="F73" s="15"/>
      <c r="G73" s="39"/>
      <c r="H73" s="15"/>
      <c r="I73" s="39">
        <v>-33</v>
      </c>
      <c r="J73" s="15"/>
      <c r="K73" s="39"/>
      <c r="L73" s="12">
        <f aca="true" t="shared" si="22" ref="L73:L84">+B73+SUM(C73:K73)</f>
        <v>-2664.2999999999997</v>
      </c>
      <c r="M73" s="56">
        <f t="shared" si="21"/>
        <v>0.012541329380914379</v>
      </c>
    </row>
    <row r="74" spans="1:13" ht="12.75">
      <c r="A74" s="21" t="s">
        <v>87</v>
      </c>
      <c r="B74" s="12">
        <f>'2015-16'!L74</f>
        <v>-66.34</v>
      </c>
      <c r="C74" s="39"/>
      <c r="D74" s="15"/>
      <c r="E74" s="39"/>
      <c r="F74" s="15"/>
      <c r="G74" s="39"/>
      <c r="H74" s="15"/>
      <c r="I74" s="39"/>
      <c r="J74" s="15"/>
      <c r="K74" s="39"/>
      <c r="L74" s="12">
        <f t="shared" si="22"/>
        <v>-66.34</v>
      </c>
      <c r="M74" s="56">
        <f t="shared" si="21"/>
        <v>0</v>
      </c>
    </row>
    <row r="75" spans="1:13" ht="12.75">
      <c r="A75" s="21" t="s">
        <v>20</v>
      </c>
      <c r="B75" s="12">
        <f>'2015-16'!L75</f>
        <v>-4100.576</v>
      </c>
      <c r="C75" s="39"/>
      <c r="D75" s="15"/>
      <c r="E75" s="39"/>
      <c r="F75" s="15"/>
      <c r="G75" s="39">
        <v>-30</v>
      </c>
      <c r="H75" s="15"/>
      <c r="I75" s="39">
        <v>-150</v>
      </c>
      <c r="J75" s="15"/>
      <c r="K75" s="39"/>
      <c r="L75" s="12">
        <f t="shared" si="22"/>
        <v>-4280.576</v>
      </c>
      <c r="M75" s="56">
        <f t="shared" si="21"/>
        <v>0.04389627213347588</v>
      </c>
    </row>
    <row r="76" spans="1:13" ht="12.75">
      <c r="A76" s="21" t="s">
        <v>21</v>
      </c>
      <c r="B76" s="12">
        <f>'2015-16'!L76</f>
        <v>3471.131</v>
      </c>
      <c r="C76" s="39"/>
      <c r="D76" s="15"/>
      <c r="E76" s="39"/>
      <c r="F76" s="15">
        <v>28</v>
      </c>
      <c r="G76" s="39"/>
      <c r="H76" s="15"/>
      <c r="I76" s="39">
        <v>-16</v>
      </c>
      <c r="J76" s="15"/>
      <c r="K76" s="39"/>
      <c r="L76" s="12">
        <f t="shared" si="22"/>
        <v>3483.131</v>
      </c>
      <c r="M76" s="56">
        <f t="shared" si="21"/>
        <v>0.003457086465477679</v>
      </c>
    </row>
    <row r="77" spans="1:13" ht="12.75">
      <c r="A77" s="21" t="s">
        <v>88</v>
      </c>
      <c r="B77" s="12">
        <f>'2015-16'!L77</f>
        <v>-1161.9979999999998</v>
      </c>
      <c r="C77" s="39"/>
      <c r="D77" s="15"/>
      <c r="E77" s="39"/>
      <c r="F77" s="15">
        <v>-110</v>
      </c>
      <c r="G77" s="39"/>
      <c r="H77" s="15"/>
      <c r="I77" s="39">
        <v>-25</v>
      </c>
      <c r="J77" s="15"/>
      <c r="K77" s="39"/>
      <c r="L77" s="12">
        <f t="shared" si="22"/>
        <v>-1296.9979999999998</v>
      </c>
      <c r="M77" s="56">
        <f t="shared" si="21"/>
        <v>0.11617920168537298</v>
      </c>
    </row>
    <row r="78" spans="1:13" ht="12.75">
      <c r="A78" s="21" t="s">
        <v>66</v>
      </c>
      <c r="B78" s="12">
        <f>'2015-16'!L78</f>
        <v>-130.942</v>
      </c>
      <c r="C78" s="39"/>
      <c r="D78" s="15"/>
      <c r="E78" s="39">
        <v>12</v>
      </c>
      <c r="F78" s="15"/>
      <c r="G78" s="39"/>
      <c r="H78" s="15"/>
      <c r="I78" s="39">
        <v>-30</v>
      </c>
      <c r="J78" s="15"/>
      <c r="K78" s="39"/>
      <c r="L78" s="12">
        <f t="shared" si="22"/>
        <v>-148.942</v>
      </c>
      <c r="M78" s="56">
        <f t="shared" si="21"/>
        <v>0.13746544271509523</v>
      </c>
    </row>
    <row r="79" spans="1:13" ht="12.75">
      <c r="A79" s="21" t="s">
        <v>22</v>
      </c>
      <c r="B79" s="12">
        <f>'2015-16'!L79</f>
        <v>3834.322</v>
      </c>
      <c r="C79" s="39"/>
      <c r="D79" s="15"/>
      <c r="E79" s="39">
        <v>2</v>
      </c>
      <c r="F79" s="15"/>
      <c r="G79" s="39"/>
      <c r="H79" s="15"/>
      <c r="I79" s="39"/>
      <c r="J79" s="15"/>
      <c r="K79" s="39"/>
      <c r="L79" s="12">
        <f t="shared" si="22"/>
        <v>3836.322</v>
      </c>
      <c r="M79" s="56">
        <f t="shared" si="21"/>
        <v>0.0005216046018044389</v>
      </c>
    </row>
    <row r="80" spans="1:13" ht="12.75">
      <c r="A80" s="21" t="s">
        <v>65</v>
      </c>
      <c r="B80" s="12">
        <f>'2015-16'!L80</f>
        <v>-43.10800000000003</v>
      </c>
      <c r="C80" s="39"/>
      <c r="D80" s="15"/>
      <c r="E80" s="39">
        <v>42</v>
      </c>
      <c r="F80" s="15"/>
      <c r="G80" s="39"/>
      <c r="H80" s="15"/>
      <c r="I80" s="39"/>
      <c r="J80" s="15"/>
      <c r="K80" s="39"/>
      <c r="L80" s="12">
        <f t="shared" si="22"/>
        <v>-1.1080000000000325</v>
      </c>
      <c r="M80" s="56">
        <f t="shared" si="21"/>
        <v>-0.9742971142247371</v>
      </c>
    </row>
    <row r="81" spans="1:13" ht="12.75">
      <c r="A81" s="21" t="s">
        <v>23</v>
      </c>
      <c r="B81" s="12">
        <f>'2015-16'!L81</f>
        <v>-53.421</v>
      </c>
      <c r="C81" s="39"/>
      <c r="D81" s="15"/>
      <c r="E81" s="39"/>
      <c r="F81" s="15"/>
      <c r="G81" s="39"/>
      <c r="H81" s="15"/>
      <c r="I81" s="39"/>
      <c r="J81" s="15"/>
      <c r="K81" s="39"/>
      <c r="L81" s="12">
        <f t="shared" si="22"/>
        <v>-53.421</v>
      </c>
      <c r="M81" s="56">
        <f t="shared" si="21"/>
        <v>0</v>
      </c>
    </row>
    <row r="82" spans="1:13" ht="12.75">
      <c r="A82" s="21" t="s">
        <v>89</v>
      </c>
      <c r="B82" s="12">
        <f>'2015-16'!L82</f>
        <v>-218.921</v>
      </c>
      <c r="C82" s="39"/>
      <c r="D82" s="15"/>
      <c r="E82" s="39"/>
      <c r="F82" s="15"/>
      <c r="G82" s="39"/>
      <c r="H82" s="15"/>
      <c r="I82" s="39"/>
      <c r="J82" s="15"/>
      <c r="K82" s="39"/>
      <c r="L82" s="12">
        <f t="shared" si="22"/>
        <v>-218.921</v>
      </c>
      <c r="M82" s="56">
        <f t="shared" si="21"/>
        <v>0</v>
      </c>
    </row>
    <row r="83" spans="1:13" ht="12.75" customHeight="1">
      <c r="A83" s="21" t="s">
        <v>24</v>
      </c>
      <c r="B83" s="12">
        <f>'2015-16'!L83</f>
        <v>2333.6690000000003</v>
      </c>
      <c r="C83" s="39"/>
      <c r="D83" s="15"/>
      <c r="E83" s="39"/>
      <c r="F83" s="15"/>
      <c r="G83" s="39"/>
      <c r="H83" s="15"/>
      <c r="I83" s="39"/>
      <c r="J83" s="15"/>
      <c r="K83" s="39"/>
      <c r="L83" s="12">
        <f t="shared" si="22"/>
        <v>2333.6690000000003</v>
      </c>
      <c r="M83" s="56">
        <f t="shared" si="21"/>
        <v>0</v>
      </c>
    </row>
    <row r="84" spans="1:13" ht="12.75" customHeight="1">
      <c r="A84" s="21" t="s">
        <v>25</v>
      </c>
      <c r="B84" s="12">
        <f>'2015-16'!L84</f>
        <v>1225.255</v>
      </c>
      <c r="C84" s="39"/>
      <c r="D84" s="15"/>
      <c r="E84" s="39">
        <v>103</v>
      </c>
      <c r="F84" s="15"/>
      <c r="G84" s="39">
        <v>20</v>
      </c>
      <c r="H84" s="15"/>
      <c r="I84" s="39"/>
      <c r="J84" s="15"/>
      <c r="K84" s="39"/>
      <c r="L84" s="12">
        <f t="shared" si="22"/>
        <v>1348.255</v>
      </c>
      <c r="M84" s="56">
        <f t="shared" si="21"/>
        <v>0.10038726632415292</v>
      </c>
    </row>
    <row r="85" spans="1:14" ht="12.75" customHeight="1">
      <c r="A85" s="6"/>
      <c r="B85" s="102"/>
      <c r="C85" s="39"/>
      <c r="D85" s="15"/>
      <c r="E85" s="39"/>
      <c r="F85" s="103"/>
      <c r="G85" s="103"/>
      <c r="H85" s="103"/>
      <c r="I85" s="103"/>
      <c r="J85" s="103"/>
      <c r="K85" s="103"/>
      <c r="L85" s="102"/>
      <c r="M85" s="89"/>
      <c r="N85" s="105"/>
    </row>
    <row r="86" spans="1:13" ht="12.75" customHeight="1">
      <c r="A86" s="7" t="s">
        <v>104</v>
      </c>
      <c r="B86" s="9">
        <f>+SUM(B87:B96)</f>
        <v>7362.676000000001</v>
      </c>
      <c r="C86" s="34">
        <f>+SUM(C87:C94)</f>
        <v>0</v>
      </c>
      <c r="D86" s="11">
        <f>+SUM(D87:D94)</f>
        <v>0</v>
      </c>
      <c r="E86" s="34">
        <f aca="true" t="shared" si="23" ref="E86:L86">+SUM(E87:E96)</f>
        <v>2</v>
      </c>
      <c r="F86" s="11">
        <f t="shared" si="23"/>
        <v>0</v>
      </c>
      <c r="G86" s="34">
        <f t="shared" si="23"/>
        <v>-143</v>
      </c>
      <c r="H86" s="11">
        <f t="shared" si="23"/>
        <v>0</v>
      </c>
      <c r="I86" s="34">
        <f t="shared" si="23"/>
        <v>-41</v>
      </c>
      <c r="J86" s="11">
        <f t="shared" si="23"/>
        <v>0</v>
      </c>
      <c r="K86" s="34">
        <f t="shared" si="23"/>
        <v>-25</v>
      </c>
      <c r="L86" s="9">
        <f t="shared" si="23"/>
        <v>7155.6759999999995</v>
      </c>
      <c r="M86" s="55">
        <f aca="true" t="shared" si="24" ref="M86:M96">+(L86-B86)/B86</f>
        <v>-0.02811477783349448</v>
      </c>
    </row>
    <row r="87" spans="1:13" ht="12.75">
      <c r="A87" s="4" t="s">
        <v>55</v>
      </c>
      <c r="B87" s="12">
        <f>'2015-16'!L87</f>
        <v>1562.77</v>
      </c>
      <c r="C87" s="39"/>
      <c r="D87" s="15"/>
      <c r="E87" s="39">
        <v>2</v>
      </c>
      <c r="F87" s="15"/>
      <c r="G87" s="39">
        <f>-13+-99</f>
        <v>-112</v>
      </c>
      <c r="H87" s="15"/>
      <c r="I87" s="39"/>
      <c r="J87" s="15"/>
      <c r="K87" s="39"/>
      <c r="L87" s="12">
        <f aca="true" t="shared" si="25" ref="L87:L96">+B87+SUM(C87:K87)</f>
        <v>1452.77</v>
      </c>
      <c r="M87" s="56">
        <f t="shared" si="24"/>
        <v>-0.07038783698176955</v>
      </c>
    </row>
    <row r="88" spans="1:13" ht="12.75">
      <c r="A88" s="4" t="s">
        <v>72</v>
      </c>
      <c r="B88" s="12">
        <f>'2015-16'!L88</f>
        <v>90.75999999999999</v>
      </c>
      <c r="C88" s="39"/>
      <c r="D88" s="15"/>
      <c r="E88" s="39"/>
      <c r="F88" s="15"/>
      <c r="G88" s="39"/>
      <c r="H88" s="15"/>
      <c r="I88" s="39"/>
      <c r="J88" s="15"/>
      <c r="K88" s="39"/>
      <c r="L88" s="12">
        <f t="shared" si="25"/>
        <v>90.75999999999999</v>
      </c>
      <c r="M88" s="56">
        <f t="shared" si="24"/>
        <v>0</v>
      </c>
    </row>
    <row r="89" spans="1:13" ht="12.75">
      <c r="A89" s="4" t="s">
        <v>56</v>
      </c>
      <c r="B89" s="12">
        <f>'2015-16'!L89</f>
        <v>212.068</v>
      </c>
      <c r="C89" s="39"/>
      <c r="D89" s="15"/>
      <c r="E89" s="39"/>
      <c r="F89" s="15"/>
      <c r="G89" s="39"/>
      <c r="H89" s="15"/>
      <c r="I89" s="39">
        <v>-3</v>
      </c>
      <c r="J89" s="15"/>
      <c r="K89" s="39"/>
      <c r="L89" s="12">
        <f t="shared" si="25"/>
        <v>209.068</v>
      </c>
      <c r="M89" s="56">
        <f t="shared" si="24"/>
        <v>-0.014146405869815342</v>
      </c>
    </row>
    <row r="90" spans="1:13" ht="12.75">
      <c r="A90" s="4" t="s">
        <v>57</v>
      </c>
      <c r="B90" s="12">
        <f>'2015-16'!L90</f>
        <v>24.669</v>
      </c>
      <c r="C90" s="39"/>
      <c r="D90" s="15"/>
      <c r="E90" s="39"/>
      <c r="F90" s="15"/>
      <c r="G90" s="39"/>
      <c r="H90" s="15"/>
      <c r="I90" s="39"/>
      <c r="J90" s="15"/>
      <c r="K90" s="39"/>
      <c r="L90" s="12">
        <f t="shared" si="25"/>
        <v>24.669</v>
      </c>
      <c r="M90" s="56">
        <f t="shared" si="24"/>
        <v>0</v>
      </c>
    </row>
    <row r="91" spans="1:13" ht="12.75">
      <c r="A91" s="4" t="s">
        <v>58</v>
      </c>
      <c r="B91" s="12">
        <f>'2015-16'!L91</f>
        <v>69.643</v>
      </c>
      <c r="C91" s="39"/>
      <c r="D91" s="15"/>
      <c r="E91" s="39"/>
      <c r="F91" s="15"/>
      <c r="G91" s="39"/>
      <c r="H91" s="15"/>
      <c r="I91" s="39"/>
      <c r="J91" s="15"/>
      <c r="K91" s="39"/>
      <c r="L91" s="12">
        <f t="shared" si="25"/>
        <v>69.643</v>
      </c>
      <c r="M91" s="56">
        <f t="shared" si="24"/>
        <v>0</v>
      </c>
    </row>
    <row r="92" spans="1:13" ht="12.75">
      <c r="A92" s="4" t="s">
        <v>59</v>
      </c>
      <c r="B92" s="12">
        <f>'2015-16'!L92</f>
        <v>145.51999999999998</v>
      </c>
      <c r="C92" s="39"/>
      <c r="D92" s="15"/>
      <c r="E92" s="39"/>
      <c r="F92" s="15"/>
      <c r="G92" s="39"/>
      <c r="H92" s="15"/>
      <c r="I92" s="39"/>
      <c r="J92" s="15"/>
      <c r="K92" s="39"/>
      <c r="L92" s="12">
        <f t="shared" si="25"/>
        <v>145.51999999999998</v>
      </c>
      <c r="M92" s="56">
        <f t="shared" si="24"/>
        <v>0</v>
      </c>
    </row>
    <row r="93" spans="1:13" ht="12.75">
      <c r="A93" s="4" t="s">
        <v>60</v>
      </c>
      <c r="B93" s="12">
        <f>'2015-16'!L93</f>
        <v>1752.5049999999999</v>
      </c>
      <c r="C93" s="39"/>
      <c r="D93" s="15"/>
      <c r="E93" s="39"/>
      <c r="F93" s="15"/>
      <c r="G93" s="39">
        <f>-13+-8+-10</f>
        <v>-31</v>
      </c>
      <c r="H93" s="15"/>
      <c r="I93" s="39">
        <f>-10+-5+-18+-5</f>
        <v>-38</v>
      </c>
      <c r="J93" s="15"/>
      <c r="K93" s="39"/>
      <c r="L93" s="12">
        <f t="shared" si="25"/>
        <v>1683.5049999999999</v>
      </c>
      <c r="M93" s="56">
        <f t="shared" si="24"/>
        <v>-0.03937221291808012</v>
      </c>
    </row>
    <row r="94" spans="1:13" ht="12.75">
      <c r="A94" s="4" t="s">
        <v>90</v>
      </c>
      <c r="B94" s="12">
        <f>'2015-16'!L94</f>
        <v>443.527</v>
      </c>
      <c r="C94" s="39"/>
      <c r="D94" s="15"/>
      <c r="E94" s="39"/>
      <c r="F94" s="15"/>
      <c r="G94" s="39"/>
      <c r="H94" s="15"/>
      <c r="I94" s="39"/>
      <c r="J94" s="15"/>
      <c r="K94" s="39"/>
      <c r="L94" s="12">
        <f t="shared" si="25"/>
        <v>443.527</v>
      </c>
      <c r="M94" s="56">
        <f t="shared" si="24"/>
        <v>0</v>
      </c>
    </row>
    <row r="95" spans="1:13" ht="12.75">
      <c r="A95" s="3" t="s">
        <v>16</v>
      </c>
      <c r="B95" s="16">
        <f>'2015-16'!L95</f>
        <v>2673.6610000000005</v>
      </c>
      <c r="C95" s="41"/>
      <c r="D95" s="17"/>
      <c r="E95" s="41"/>
      <c r="F95" s="17"/>
      <c r="G95" s="41"/>
      <c r="H95" s="17"/>
      <c r="I95" s="39"/>
      <c r="J95" s="15"/>
      <c r="K95" s="39">
        <v>-25</v>
      </c>
      <c r="L95" s="12">
        <f t="shared" si="25"/>
        <v>2648.6610000000005</v>
      </c>
      <c r="M95" s="56">
        <f t="shared" si="24"/>
        <v>-0.00935047487321691</v>
      </c>
    </row>
    <row r="96" spans="1:13" ht="12.75">
      <c r="A96" s="3" t="s">
        <v>99</v>
      </c>
      <c r="B96" s="16">
        <f>'2015-16'!L96</f>
        <v>387.553</v>
      </c>
      <c r="C96" s="41"/>
      <c r="D96" s="17"/>
      <c r="E96" s="41"/>
      <c r="F96" s="17"/>
      <c r="G96" s="41"/>
      <c r="H96" s="17"/>
      <c r="I96" s="39"/>
      <c r="J96" s="15"/>
      <c r="K96" s="39"/>
      <c r="L96" s="12">
        <f t="shared" si="25"/>
        <v>387.553</v>
      </c>
      <c r="M96" s="56">
        <f t="shared" si="24"/>
        <v>0</v>
      </c>
    </row>
    <row r="97" spans="1:13" ht="12.75">
      <c r="A97" s="7"/>
      <c r="B97" s="16"/>
      <c r="C97" s="41"/>
      <c r="D97" s="17"/>
      <c r="E97" s="41"/>
      <c r="F97" s="17"/>
      <c r="G97" s="41"/>
      <c r="H97" s="17"/>
      <c r="I97" s="39"/>
      <c r="J97" s="15"/>
      <c r="K97" s="39"/>
      <c r="L97" s="16"/>
      <c r="M97" s="54"/>
    </row>
    <row r="98" spans="1:13" ht="12.75">
      <c r="A98" s="5" t="s">
        <v>70</v>
      </c>
      <c r="B98" s="9">
        <f aca="true" t="shared" si="26" ref="B98:L98">+SUM(B99:B101)</f>
        <v>271.18600000000004</v>
      </c>
      <c r="C98" s="33">
        <f t="shared" si="26"/>
        <v>0</v>
      </c>
      <c r="D98" s="10">
        <f t="shared" si="26"/>
        <v>0</v>
      </c>
      <c r="E98" s="33">
        <f t="shared" si="26"/>
        <v>0</v>
      </c>
      <c r="F98" s="10">
        <f t="shared" si="26"/>
        <v>0</v>
      </c>
      <c r="G98" s="33">
        <f t="shared" si="26"/>
        <v>0</v>
      </c>
      <c r="H98" s="10">
        <f t="shared" si="26"/>
        <v>0</v>
      </c>
      <c r="I98" s="33">
        <f t="shared" si="26"/>
        <v>-17</v>
      </c>
      <c r="J98" s="10">
        <f t="shared" si="26"/>
        <v>0</v>
      </c>
      <c r="K98" s="33">
        <f t="shared" si="26"/>
        <v>86</v>
      </c>
      <c r="L98" s="9">
        <f t="shared" si="26"/>
        <v>340.18600000000004</v>
      </c>
      <c r="M98" s="55">
        <f>+(L98-B98)/B98</f>
        <v>0.2544379134616093</v>
      </c>
    </row>
    <row r="99" spans="1:13" ht="12.75">
      <c r="A99" s="20" t="s">
        <v>14</v>
      </c>
      <c r="B99" s="12">
        <f>'2015-16'!L99</f>
        <v>-28.736999999999995</v>
      </c>
      <c r="C99" s="39"/>
      <c r="D99" s="15"/>
      <c r="E99" s="39"/>
      <c r="F99" s="15"/>
      <c r="G99" s="39"/>
      <c r="H99" s="15"/>
      <c r="I99" s="39">
        <v>-8</v>
      </c>
      <c r="J99" s="15"/>
      <c r="K99" s="39"/>
      <c r="L99" s="12">
        <f>+B99+SUM(C99:K99)</f>
        <v>-36.736999999999995</v>
      </c>
      <c r="M99" s="56">
        <f>+(L99-B99)/B99</f>
        <v>0.2783867487907576</v>
      </c>
    </row>
    <row r="100" spans="1:13" ht="12.75">
      <c r="A100" s="20" t="s">
        <v>52</v>
      </c>
      <c r="B100" s="12">
        <f>'2015-16'!L100</f>
        <v>430.939</v>
      </c>
      <c r="C100" s="39"/>
      <c r="D100" s="15"/>
      <c r="E100" s="39"/>
      <c r="F100" s="15"/>
      <c r="G100" s="39"/>
      <c r="H100" s="15"/>
      <c r="I100" s="39">
        <v>-9</v>
      </c>
      <c r="J100" s="15"/>
      <c r="K100" s="39"/>
      <c r="L100" s="12">
        <f>+B100+SUM(C100:K100)</f>
        <v>421.939</v>
      </c>
      <c r="M100" s="56">
        <f>+(L100-B100)/B100</f>
        <v>-0.020884626362431803</v>
      </c>
    </row>
    <row r="101" spans="1:13" ht="12.75">
      <c r="A101" s="20" t="s">
        <v>15</v>
      </c>
      <c r="B101" s="12">
        <f>'2015-16'!L101</f>
        <v>-131.016</v>
      </c>
      <c r="C101" s="39"/>
      <c r="D101" s="15"/>
      <c r="E101" s="39"/>
      <c r="F101" s="15"/>
      <c r="G101" s="39"/>
      <c r="H101" s="15"/>
      <c r="I101" s="39"/>
      <c r="J101" s="15"/>
      <c r="K101" s="39">
        <f>110+-24</f>
        <v>86</v>
      </c>
      <c r="L101" s="12">
        <f>+B101+SUM(C101:K101)</f>
        <v>-45.01599999999999</v>
      </c>
      <c r="M101" s="56">
        <f>+(L101-B101)/B101</f>
        <v>-0.6564083776027356</v>
      </c>
    </row>
    <row r="102" spans="1:13" ht="12.75">
      <c r="A102" s="6"/>
      <c r="B102" s="16"/>
      <c r="C102" s="42"/>
      <c r="D102" s="22"/>
      <c r="E102" s="42"/>
      <c r="F102" s="22"/>
      <c r="G102" s="42"/>
      <c r="H102" s="22"/>
      <c r="I102" s="42"/>
      <c r="J102" s="22"/>
      <c r="K102" s="42"/>
      <c r="L102" s="16"/>
      <c r="M102" s="54"/>
    </row>
    <row r="103" spans="1:13" s="31" customFormat="1" ht="41.25" customHeight="1">
      <c r="A103" s="59" t="s">
        <v>71</v>
      </c>
      <c r="B103" s="64">
        <f>+B5+B25+B63</f>
        <v>18258.814</v>
      </c>
      <c r="C103" s="60">
        <f>+C5+C25+C63</f>
        <v>0</v>
      </c>
      <c r="D103" s="63">
        <f>+D5+D25+D63</f>
        <v>0</v>
      </c>
      <c r="E103" s="60">
        <f aca="true" t="shared" si="27" ref="E103:L103">+E5+E25+E63</f>
        <v>166</v>
      </c>
      <c r="F103" s="63">
        <f t="shared" si="27"/>
        <v>-202</v>
      </c>
      <c r="G103" s="60">
        <f t="shared" si="27"/>
        <v>-482</v>
      </c>
      <c r="H103" s="63">
        <f t="shared" si="27"/>
        <v>-36</v>
      </c>
      <c r="I103" s="60">
        <f t="shared" si="27"/>
        <v>-548</v>
      </c>
      <c r="J103" s="63">
        <f t="shared" si="27"/>
        <v>-10</v>
      </c>
      <c r="K103" s="60">
        <f t="shared" si="27"/>
        <v>-324</v>
      </c>
      <c r="L103" s="64">
        <f t="shared" si="27"/>
        <v>16822.814</v>
      </c>
      <c r="M103" s="61">
        <f>+(L103-B103)/B103</f>
        <v>-0.0786469482629047</v>
      </c>
    </row>
    <row r="104" spans="1:12" ht="12.75">
      <c r="A104" s="35"/>
      <c r="B104" s="68"/>
      <c r="C104" s="45"/>
      <c r="D104" s="45"/>
      <c r="E104" s="68"/>
      <c r="F104" s="68"/>
      <c r="G104" s="68"/>
      <c r="H104" s="68"/>
      <c r="I104" s="68"/>
      <c r="J104" s="68"/>
      <c r="K104" s="68"/>
      <c r="L104" s="45"/>
    </row>
    <row r="105" spans="1:13" ht="15.75" hidden="1" outlineLevel="1">
      <c r="A105" s="75" t="s">
        <v>3</v>
      </c>
      <c r="B105" s="38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46"/>
    </row>
    <row r="106" spans="1:13" ht="12.75" hidden="1" outlineLevel="1">
      <c r="A106" s="76" t="s">
        <v>10</v>
      </c>
      <c r="B106" s="38">
        <f>'2015-16'!L106</f>
        <v>-1608.9340000000004</v>
      </c>
      <c r="C106" s="24">
        <v>-583.868</v>
      </c>
      <c r="D106" s="24"/>
      <c r="E106" s="24"/>
      <c r="F106" s="24"/>
      <c r="G106" s="24"/>
      <c r="H106" s="24"/>
      <c r="I106" s="24"/>
      <c r="J106" s="24"/>
      <c r="K106" s="24"/>
      <c r="L106" s="77">
        <f>+B106+SUM(C106:K106)</f>
        <v>-2192.8020000000006</v>
      </c>
      <c r="M106" s="37"/>
    </row>
    <row r="107" spans="1:13" ht="12.75" hidden="1" outlineLevel="1">
      <c r="A107" s="76"/>
      <c r="B107" s="38"/>
      <c r="C107" s="24"/>
      <c r="D107" s="24"/>
      <c r="E107" s="24"/>
      <c r="F107" s="24"/>
      <c r="G107" s="24"/>
      <c r="H107" s="24"/>
      <c r="I107" s="24"/>
      <c r="J107" s="24"/>
      <c r="K107" s="24"/>
      <c r="L107" s="77"/>
      <c r="M107" s="46"/>
    </row>
    <row r="108" spans="1:13" ht="12.75" hidden="1" outlineLevel="1">
      <c r="A108" s="76" t="s">
        <v>4</v>
      </c>
      <c r="B108" s="38">
        <f>'2015-16'!L108</f>
        <v>4617.638</v>
      </c>
      <c r="C108" s="24">
        <v>1548.466</v>
      </c>
      <c r="D108" s="24"/>
      <c r="E108" s="24"/>
      <c r="F108" s="24"/>
      <c r="G108" s="24"/>
      <c r="H108" s="24"/>
      <c r="I108" s="24"/>
      <c r="J108" s="24"/>
      <c r="K108" s="24"/>
      <c r="L108" s="77">
        <f>+B108+SUM(C108:K108)</f>
        <v>6166.103999999999</v>
      </c>
      <c r="M108" s="37"/>
    </row>
    <row r="109" spans="1:13" ht="15" hidden="1" outlineLevel="1">
      <c r="A109" s="78"/>
      <c r="B109" s="38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46"/>
    </row>
    <row r="110" spans="1:13" ht="15.75" hidden="1" outlineLevel="1">
      <c r="A110" s="75" t="s">
        <v>13</v>
      </c>
      <c r="B110" s="32">
        <f aca="true" t="shared" si="28" ref="B110:L110">+SUM(B103:B109)</f>
        <v>21267.517999999996</v>
      </c>
      <c r="C110" s="47">
        <f t="shared" si="28"/>
        <v>964.5979999999998</v>
      </c>
      <c r="D110" s="47">
        <f t="shared" si="28"/>
        <v>0</v>
      </c>
      <c r="E110" s="47">
        <f t="shared" si="28"/>
        <v>166</v>
      </c>
      <c r="F110" s="47">
        <f t="shared" si="28"/>
        <v>-202</v>
      </c>
      <c r="G110" s="47">
        <f t="shared" si="28"/>
        <v>-482</v>
      </c>
      <c r="H110" s="47">
        <f t="shared" si="28"/>
        <v>-36</v>
      </c>
      <c r="I110" s="47">
        <f t="shared" si="28"/>
        <v>-548</v>
      </c>
      <c r="J110" s="47">
        <f t="shared" si="28"/>
        <v>-10</v>
      </c>
      <c r="K110" s="47">
        <f t="shared" si="28"/>
        <v>-324</v>
      </c>
      <c r="L110" s="47">
        <f t="shared" si="28"/>
        <v>20796.115999999998</v>
      </c>
      <c r="M110" s="37"/>
    </row>
    <row r="111" spans="1:13" ht="15" hidden="1" outlineLevel="1">
      <c r="A111" s="78"/>
      <c r="B111" s="38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46"/>
    </row>
    <row r="112" spans="1:13" ht="12.75" hidden="1" outlineLevel="1">
      <c r="A112" s="79" t="s">
        <v>5</v>
      </c>
      <c r="B112" s="38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46"/>
    </row>
    <row r="113" spans="1:13" ht="25.5" hidden="1" outlineLevel="1">
      <c r="A113" s="76" t="s">
        <v>6</v>
      </c>
      <c r="B113" s="38">
        <f>'2015-16'!L113</f>
        <v>0</v>
      </c>
      <c r="C113" s="24"/>
      <c r="D113" s="24"/>
      <c r="E113" s="24"/>
      <c r="F113" s="24"/>
      <c r="G113" s="24"/>
      <c r="H113" s="24"/>
      <c r="I113" s="24"/>
      <c r="J113" s="24"/>
      <c r="K113" s="24"/>
      <c r="L113" s="77">
        <f>+B113+SUM(C113:K113)</f>
        <v>0</v>
      </c>
      <c r="M113" s="37"/>
    </row>
    <row r="114" spans="1:13" ht="15" hidden="1" outlineLevel="1">
      <c r="A114" s="78"/>
      <c r="B114" s="38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46"/>
    </row>
    <row r="115" spans="1:13" ht="15.75" hidden="1" outlineLevel="1">
      <c r="A115" s="75" t="s">
        <v>7</v>
      </c>
      <c r="B115" s="32">
        <f>+SUM(B110,B113)</f>
        <v>21267.517999999996</v>
      </c>
      <c r="C115" s="47">
        <f>+SUM(C110,C113)</f>
        <v>964.5979999999998</v>
      </c>
      <c r="D115" s="47">
        <f aca="true" t="shared" si="29" ref="D115:L115">+SUM(D110,D113)</f>
        <v>0</v>
      </c>
      <c r="E115" s="47">
        <f t="shared" si="29"/>
        <v>166</v>
      </c>
      <c r="F115" s="47">
        <f t="shared" si="29"/>
        <v>-202</v>
      </c>
      <c r="G115" s="47">
        <f t="shared" si="29"/>
        <v>-482</v>
      </c>
      <c r="H115" s="47">
        <f t="shared" si="29"/>
        <v>-36</v>
      </c>
      <c r="I115" s="47">
        <f t="shared" si="29"/>
        <v>-548</v>
      </c>
      <c r="J115" s="47">
        <f t="shared" si="29"/>
        <v>-10</v>
      </c>
      <c r="K115" s="47">
        <f t="shared" si="29"/>
        <v>-324</v>
      </c>
      <c r="L115" s="47">
        <f t="shared" si="29"/>
        <v>20796.115999999998</v>
      </c>
      <c r="M115" s="48"/>
    </row>
    <row r="116" spans="1:13" ht="15" hidden="1" outlineLevel="1">
      <c r="A116" s="78"/>
      <c r="B116" s="38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46"/>
    </row>
    <row r="117" spans="1:13" ht="15" hidden="1" outlineLevel="1">
      <c r="A117" s="78"/>
      <c r="B117" s="38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46"/>
    </row>
    <row r="118" spans="1:13" ht="15.75" hidden="1" outlineLevel="1">
      <c r="A118" s="75" t="s">
        <v>8</v>
      </c>
      <c r="B118" s="32">
        <f>+SUM(B119:B123)</f>
        <v>-21267.951</v>
      </c>
      <c r="C118" s="47">
        <f>+SUM(C119:C123)</f>
        <v>471.40200000000004</v>
      </c>
      <c r="D118" s="47">
        <f aca="true" t="shared" si="30" ref="D118:L118">+SUM(D119:D123)</f>
        <v>0</v>
      </c>
      <c r="E118" s="47">
        <f t="shared" si="30"/>
        <v>0</v>
      </c>
      <c r="F118" s="47">
        <f t="shared" si="30"/>
        <v>0</v>
      </c>
      <c r="G118" s="47">
        <f t="shared" si="30"/>
        <v>0</v>
      </c>
      <c r="H118" s="47">
        <f t="shared" si="30"/>
        <v>0</v>
      </c>
      <c r="I118" s="47">
        <f t="shared" si="30"/>
        <v>0</v>
      </c>
      <c r="J118" s="47">
        <f t="shared" si="30"/>
        <v>0</v>
      </c>
      <c r="K118" s="47">
        <f t="shared" si="30"/>
        <v>0</v>
      </c>
      <c r="L118" s="47">
        <f t="shared" si="30"/>
        <v>-20796.549</v>
      </c>
      <c r="M118" s="37"/>
    </row>
    <row r="119" spans="1:13" ht="12.75" hidden="1" outlineLevel="1">
      <c r="A119" s="76" t="s">
        <v>108</v>
      </c>
      <c r="B119" s="38">
        <f>'2015-16'!L119</f>
        <v>-4433</v>
      </c>
      <c r="C119" s="24">
        <v>751</v>
      </c>
      <c r="D119" s="24"/>
      <c r="E119" s="24"/>
      <c r="F119" s="24"/>
      <c r="G119" s="24"/>
      <c r="H119" s="24"/>
      <c r="I119" s="24"/>
      <c r="J119" s="24"/>
      <c r="K119" s="24"/>
      <c r="L119" s="77">
        <f>+B119+SUM(C119:K119)</f>
        <v>-3682</v>
      </c>
      <c r="M119" s="37"/>
    </row>
    <row r="120" spans="1:13" ht="12.75" hidden="1" outlineLevel="1">
      <c r="A120" s="76" t="s">
        <v>109</v>
      </c>
      <c r="B120" s="38">
        <f>'2015-16'!L120</f>
        <v>-5299.277</v>
      </c>
      <c r="C120" s="24">
        <v>-105.987</v>
      </c>
      <c r="D120" s="24"/>
      <c r="E120" s="24"/>
      <c r="F120" s="24"/>
      <c r="G120" s="24"/>
      <c r="H120" s="24"/>
      <c r="I120" s="24"/>
      <c r="J120" s="24"/>
      <c r="K120" s="24"/>
      <c r="L120" s="77">
        <f>+B120+SUM(C120:K120)</f>
        <v>-5405.264</v>
      </c>
      <c r="M120" s="37"/>
    </row>
    <row r="121" spans="1:13" ht="12.75" hidden="1" outlineLevel="1">
      <c r="A121" s="80" t="s">
        <v>110</v>
      </c>
      <c r="B121" s="38">
        <f>'2015-16'!L121</f>
        <v>-11689.846</v>
      </c>
      <c r="C121" s="24">
        <v>-173.611</v>
      </c>
      <c r="D121" s="24"/>
      <c r="E121" s="24"/>
      <c r="F121" s="24"/>
      <c r="G121" s="24"/>
      <c r="H121" s="24"/>
      <c r="I121" s="24"/>
      <c r="J121" s="24"/>
      <c r="K121" s="24"/>
      <c r="L121" s="77">
        <f>+B121+SUM(C121:K121)</f>
        <v>-11863.457</v>
      </c>
      <c r="M121" s="37"/>
    </row>
    <row r="122" spans="1:13" ht="12.75" hidden="1" outlineLevel="1">
      <c r="A122" s="80" t="s">
        <v>111</v>
      </c>
      <c r="B122" s="38">
        <f>'2015-16'!L122</f>
        <v>154.172</v>
      </c>
      <c r="C122" s="24"/>
      <c r="D122" s="24"/>
      <c r="E122" s="24"/>
      <c r="F122" s="24"/>
      <c r="G122" s="24"/>
      <c r="H122" s="24"/>
      <c r="I122" s="24"/>
      <c r="J122" s="24"/>
      <c r="K122" s="24"/>
      <c r="L122" s="77">
        <f>+B122+SUM(C122:K122)</f>
        <v>154.172</v>
      </c>
      <c r="M122" s="37"/>
    </row>
    <row r="123" spans="1:13" ht="12.75" hidden="1" outlineLevel="1">
      <c r="A123" s="80" t="s">
        <v>112</v>
      </c>
      <c r="B123" s="38">
        <f>'2015-16'!L123</f>
        <v>0</v>
      </c>
      <c r="C123" s="24"/>
      <c r="D123" s="24"/>
      <c r="E123" s="24"/>
      <c r="F123" s="24"/>
      <c r="G123" s="24"/>
      <c r="H123" s="24"/>
      <c r="I123" s="24"/>
      <c r="J123" s="24"/>
      <c r="K123" s="24"/>
      <c r="L123" s="77">
        <f>+B123+SUM(C123:K123)</f>
        <v>0</v>
      </c>
      <c r="M123" s="37"/>
    </row>
    <row r="124" spans="1:13" ht="12.75" hidden="1" outlineLevel="1">
      <c r="A124" s="76"/>
      <c r="B124" s="38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46"/>
    </row>
    <row r="125" spans="1:13" ht="12.75" hidden="1" outlineLevel="1">
      <c r="A125" s="76" t="s">
        <v>9</v>
      </c>
      <c r="B125" s="38">
        <f aca="true" t="shared" si="31" ref="B125:L125">+SUM(B118,B115)</f>
        <v>-0.4330000000045402</v>
      </c>
      <c r="C125" s="24">
        <f t="shared" si="31"/>
        <v>1436</v>
      </c>
      <c r="D125" s="24">
        <f t="shared" si="31"/>
        <v>0</v>
      </c>
      <c r="E125" s="24">
        <f t="shared" si="31"/>
        <v>166</v>
      </c>
      <c r="F125" s="24">
        <f t="shared" si="31"/>
        <v>-202</v>
      </c>
      <c r="G125" s="24">
        <f t="shared" si="31"/>
        <v>-482</v>
      </c>
      <c r="H125" s="24">
        <f t="shared" si="31"/>
        <v>-36</v>
      </c>
      <c r="I125" s="24">
        <f t="shared" si="31"/>
        <v>-548</v>
      </c>
      <c r="J125" s="24">
        <f t="shared" si="31"/>
        <v>-10</v>
      </c>
      <c r="K125" s="24">
        <f t="shared" si="31"/>
        <v>-324</v>
      </c>
      <c r="L125" s="24">
        <f t="shared" si="31"/>
        <v>-0.4330000000009022</v>
      </c>
      <c r="M125" s="37"/>
    </row>
    <row r="126" ht="12.75" collapsed="1"/>
    <row r="127" ht="12.75">
      <c r="L127" s="41"/>
    </row>
    <row r="129" ht="12.75">
      <c r="L129" s="41"/>
    </row>
  </sheetData>
  <sheetProtection/>
  <autoFilter ref="A4:M104"/>
  <mergeCells count="1">
    <mergeCell ref="A1:M1"/>
  </mergeCells>
  <conditionalFormatting sqref="M102 M85 M62 M64 M54 M26 M19 M3:M4 M6 M13 M24 M97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6299212598425197" header="0.31496062992125984" footer="0.1968503937007874"/>
  <pageSetup firstPageNumber="7" useFirstPageNumber="1" fitToHeight="0" fitToWidth="1" horizontalDpi="600" verticalDpi="600" orientation="landscape" paperSize="9" scale="74" r:id="rId1"/>
  <headerFooter alignWithMargins="0">
    <oddHeader>&amp;R&amp;16Appendix 2</oddHeader>
    <oddFooter>&amp;C&amp;P</oddFooter>
  </headerFooter>
  <rowBreaks count="2" manualBreakCount="2">
    <brk id="49" max="12" man="1"/>
    <brk id="97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9"/>
  <sheetViews>
    <sheetView tabSelected="1" zoomScale="70" zoomScaleNormal="70" zoomScalePageLayoutView="0" workbookViewId="0" topLeftCell="A1">
      <pane xSplit="1" ySplit="4" topLeftCell="B5" activePane="bottomRight" state="frozen"/>
      <selection pane="topLeft" activeCell="M103" sqref="A3:M103"/>
      <selection pane="topRight" activeCell="M103" sqref="A3:M103"/>
      <selection pane="bottomLeft" activeCell="M103" sqref="A3:M103"/>
      <selection pane="bottomRight" activeCell="M103" sqref="A3:M103"/>
    </sheetView>
  </sheetViews>
  <sheetFormatPr defaultColWidth="9.140625" defaultRowHeight="12.75" outlineLevelRow="1"/>
  <cols>
    <col min="1" max="1" width="42.140625" style="40" customWidth="1"/>
    <col min="2" max="2" width="17.421875" style="29" customWidth="1"/>
    <col min="3" max="3" width="15.28125" style="29" bestFit="1" customWidth="1"/>
    <col min="4" max="4" width="16.7109375" style="29" hidden="1" customWidth="1"/>
    <col min="5" max="5" width="14.7109375" style="29" customWidth="1"/>
    <col min="6" max="9" width="12.7109375" style="29" customWidth="1"/>
    <col min="10" max="11" width="14.140625" style="29" customWidth="1"/>
    <col min="12" max="12" width="17.421875" style="29" customWidth="1"/>
    <col min="13" max="13" width="11.7109375" style="27" customWidth="1"/>
    <col min="14" max="14" width="2.140625" style="29" customWidth="1"/>
    <col min="15" max="16384" width="9.140625" style="29" customWidth="1"/>
  </cols>
  <sheetData>
    <row r="1" spans="1:13" ht="27.75">
      <c r="A1" s="113" t="s">
        <v>116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7.2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9.25" customHeight="1">
      <c r="A3" s="18"/>
      <c r="B3" s="1" t="s">
        <v>92</v>
      </c>
      <c r="C3" s="49" t="s">
        <v>11</v>
      </c>
      <c r="D3" s="97" t="s">
        <v>12</v>
      </c>
      <c r="E3" s="110" t="s">
        <v>34</v>
      </c>
      <c r="F3" s="62" t="s">
        <v>26</v>
      </c>
      <c r="G3" s="62" t="s">
        <v>27</v>
      </c>
      <c r="H3" s="62" t="s">
        <v>28</v>
      </c>
      <c r="I3" s="62" t="s">
        <v>29</v>
      </c>
      <c r="J3" s="62" t="s">
        <v>30</v>
      </c>
      <c r="K3" s="62" t="s">
        <v>74</v>
      </c>
      <c r="L3" s="1" t="s">
        <v>93</v>
      </c>
      <c r="M3" s="84" t="s">
        <v>69</v>
      </c>
    </row>
    <row r="4" spans="1:13" ht="13.5" customHeight="1">
      <c r="A4" s="8"/>
      <c r="B4" s="65" t="s">
        <v>54</v>
      </c>
      <c r="C4" s="66" t="s">
        <v>54</v>
      </c>
      <c r="D4" s="98"/>
      <c r="E4" s="111" t="s">
        <v>54</v>
      </c>
      <c r="F4" s="67" t="s">
        <v>54</v>
      </c>
      <c r="G4" s="67" t="s">
        <v>54</v>
      </c>
      <c r="H4" s="67" t="s">
        <v>54</v>
      </c>
      <c r="I4" s="67" t="s">
        <v>54</v>
      </c>
      <c r="J4" s="67" t="s">
        <v>54</v>
      </c>
      <c r="K4" s="67" t="s">
        <v>54</v>
      </c>
      <c r="L4" s="70" t="s">
        <v>54</v>
      </c>
      <c r="M4" s="95"/>
    </row>
    <row r="5" spans="1:13" s="31" customFormat="1" ht="15.75">
      <c r="A5" s="52" t="s">
        <v>41</v>
      </c>
      <c r="B5" s="25">
        <f>+B7+B14+B20</f>
        <v>-288.97400000000016</v>
      </c>
      <c r="C5" s="30">
        <f>+C7+C14+C20</f>
        <v>0</v>
      </c>
      <c r="D5" s="26">
        <f>+D7+D14+D20</f>
        <v>0</v>
      </c>
      <c r="E5" s="30">
        <f aca="true" t="shared" si="0" ref="E5:K5">+E7+E14+E20</f>
        <v>0</v>
      </c>
      <c r="F5" s="26">
        <f t="shared" si="0"/>
        <v>0</v>
      </c>
      <c r="G5" s="30">
        <f t="shared" si="0"/>
        <v>0</v>
      </c>
      <c r="H5" s="26">
        <f t="shared" si="0"/>
        <v>0</v>
      </c>
      <c r="I5" s="30">
        <f t="shared" si="0"/>
        <v>-200</v>
      </c>
      <c r="J5" s="26">
        <f t="shared" si="0"/>
        <v>-9</v>
      </c>
      <c r="K5" s="30">
        <f t="shared" si="0"/>
        <v>0</v>
      </c>
      <c r="L5" s="25">
        <f>+L7+L14+L20</f>
        <v>-497.97400000000016</v>
      </c>
      <c r="M5" s="53">
        <f>+(L5-B5)/B5</f>
        <v>0.7232484583388121</v>
      </c>
    </row>
    <row r="6" spans="1:13" ht="12.75">
      <c r="A6" s="5"/>
      <c r="B6" s="9"/>
      <c r="C6" s="33"/>
      <c r="D6" s="10"/>
      <c r="E6" s="33"/>
      <c r="F6" s="10"/>
      <c r="G6" s="33"/>
      <c r="H6" s="10"/>
      <c r="I6" s="33"/>
      <c r="J6" s="10"/>
      <c r="K6" s="33"/>
      <c r="L6" s="9"/>
      <c r="M6" s="54"/>
    </row>
    <row r="7" spans="1:13" ht="12.75">
      <c r="A7" s="5" t="s">
        <v>42</v>
      </c>
      <c r="B7" s="9">
        <f aca="true" t="shared" si="1" ref="B7:K7">+SUM(B8:B12)</f>
        <v>1563.1580000000001</v>
      </c>
      <c r="C7" s="34">
        <f t="shared" si="1"/>
        <v>0</v>
      </c>
      <c r="D7" s="11">
        <f t="shared" si="1"/>
        <v>0</v>
      </c>
      <c r="E7" s="34">
        <f t="shared" si="1"/>
        <v>0</v>
      </c>
      <c r="F7" s="11">
        <f t="shared" si="1"/>
        <v>0</v>
      </c>
      <c r="G7" s="34">
        <f t="shared" si="1"/>
        <v>0</v>
      </c>
      <c r="H7" s="11">
        <f t="shared" si="1"/>
        <v>0</v>
      </c>
      <c r="I7" s="34">
        <f t="shared" si="1"/>
        <v>0</v>
      </c>
      <c r="J7" s="11">
        <f t="shared" si="1"/>
        <v>-9</v>
      </c>
      <c r="K7" s="34">
        <f t="shared" si="1"/>
        <v>0</v>
      </c>
      <c r="L7" s="9">
        <f>+SUM(L8:L12)</f>
        <v>1554.1580000000001</v>
      </c>
      <c r="M7" s="55">
        <f aca="true" t="shared" si="2" ref="M7:M12">+(L7-B7)/B7</f>
        <v>-0.005757575369860244</v>
      </c>
    </row>
    <row r="8" spans="1:13" ht="12.75">
      <c r="A8" s="2" t="s">
        <v>43</v>
      </c>
      <c r="B8" s="12">
        <f>'2016-17'!L8</f>
        <v>-7.168000000000001</v>
      </c>
      <c r="C8" s="36"/>
      <c r="D8" s="13"/>
      <c r="E8" s="36"/>
      <c r="F8" s="13"/>
      <c r="G8" s="36"/>
      <c r="H8" s="13"/>
      <c r="I8" s="36"/>
      <c r="J8" s="13">
        <v>-9</v>
      </c>
      <c r="K8" s="36"/>
      <c r="L8" s="12">
        <f>+B8+SUM(C8:K8)</f>
        <v>-16.168</v>
      </c>
      <c r="M8" s="56">
        <f t="shared" si="2"/>
        <v>1.2555803571428568</v>
      </c>
    </row>
    <row r="9" spans="1:13" ht="12.75">
      <c r="A9" s="2" t="s">
        <v>44</v>
      </c>
      <c r="B9" s="12">
        <f>'2016-17'!L9</f>
        <v>81.215</v>
      </c>
      <c r="C9" s="36"/>
      <c r="D9" s="13"/>
      <c r="E9" s="36"/>
      <c r="F9" s="13"/>
      <c r="G9" s="36"/>
      <c r="H9" s="13"/>
      <c r="I9" s="36"/>
      <c r="J9" s="13"/>
      <c r="K9" s="36"/>
      <c r="L9" s="12">
        <f>+B9+SUM(C9:K9)</f>
        <v>81.215</v>
      </c>
      <c r="M9" s="56">
        <f t="shared" si="2"/>
        <v>0</v>
      </c>
    </row>
    <row r="10" spans="1:13" ht="12.75">
      <c r="A10" s="2" t="s">
        <v>68</v>
      </c>
      <c r="B10" s="12">
        <f>'2016-17'!L10</f>
        <v>517.817</v>
      </c>
      <c r="C10" s="36"/>
      <c r="D10" s="13"/>
      <c r="E10" s="36"/>
      <c r="F10" s="13"/>
      <c r="G10" s="36"/>
      <c r="H10" s="13"/>
      <c r="I10" s="36"/>
      <c r="J10" s="13"/>
      <c r="K10" s="36"/>
      <c r="L10" s="12">
        <f>+B10+SUM(C10:K10)</f>
        <v>517.817</v>
      </c>
      <c r="M10" s="56">
        <f t="shared" si="2"/>
        <v>0</v>
      </c>
    </row>
    <row r="11" spans="1:13" ht="12.75">
      <c r="A11" s="2" t="s">
        <v>45</v>
      </c>
      <c r="B11" s="12">
        <f>'2016-17'!L11</f>
        <v>-28.173</v>
      </c>
      <c r="C11" s="36"/>
      <c r="D11" s="13"/>
      <c r="E11" s="36"/>
      <c r="F11" s="13"/>
      <c r="G11" s="36"/>
      <c r="H11" s="13"/>
      <c r="I11" s="36"/>
      <c r="J11" s="13"/>
      <c r="K11" s="36"/>
      <c r="L11" s="12">
        <f>+B11+SUM(C11:K11)</f>
        <v>-28.173</v>
      </c>
      <c r="M11" s="56">
        <f t="shared" si="2"/>
        <v>0</v>
      </c>
    </row>
    <row r="12" spans="1:13" ht="12.75">
      <c r="A12" s="2" t="s">
        <v>61</v>
      </c>
      <c r="B12" s="12">
        <f>'2016-17'!L12</f>
        <v>999.4670000000001</v>
      </c>
      <c r="C12" s="36"/>
      <c r="D12" s="13"/>
      <c r="E12" s="36"/>
      <c r="F12" s="13"/>
      <c r="G12" s="36"/>
      <c r="H12" s="13"/>
      <c r="I12" s="36"/>
      <c r="J12" s="13"/>
      <c r="K12" s="36"/>
      <c r="L12" s="12">
        <f>+B12+SUM(C12:K12)</f>
        <v>999.4670000000001</v>
      </c>
      <c r="M12" s="56">
        <f t="shared" si="2"/>
        <v>0</v>
      </c>
    </row>
    <row r="13" spans="1:13" ht="12.75">
      <c r="A13" s="5"/>
      <c r="B13" s="9"/>
      <c r="C13" s="33"/>
      <c r="D13" s="10"/>
      <c r="E13" s="33"/>
      <c r="F13" s="10"/>
      <c r="G13" s="33"/>
      <c r="H13" s="10"/>
      <c r="I13" s="33"/>
      <c r="J13" s="10"/>
      <c r="K13" s="33"/>
      <c r="L13" s="9"/>
      <c r="M13" s="54"/>
    </row>
    <row r="14" spans="1:13" ht="12.75">
      <c r="A14" s="7" t="s">
        <v>102</v>
      </c>
      <c r="B14" s="9">
        <f aca="true" t="shared" si="3" ref="B14:K14">+SUM(B15:B18)</f>
        <v>-5430.862</v>
      </c>
      <c r="C14" s="33">
        <f t="shared" si="3"/>
        <v>0</v>
      </c>
      <c r="D14" s="10">
        <f t="shared" si="3"/>
        <v>0</v>
      </c>
      <c r="E14" s="33">
        <f t="shared" si="3"/>
        <v>0</v>
      </c>
      <c r="F14" s="10">
        <f t="shared" si="3"/>
        <v>0</v>
      </c>
      <c r="G14" s="33">
        <f t="shared" si="3"/>
        <v>0</v>
      </c>
      <c r="H14" s="10">
        <f t="shared" si="3"/>
        <v>0</v>
      </c>
      <c r="I14" s="33">
        <f t="shared" si="3"/>
        <v>0</v>
      </c>
      <c r="J14" s="10">
        <f t="shared" si="3"/>
        <v>0</v>
      </c>
      <c r="K14" s="33">
        <f t="shared" si="3"/>
        <v>0</v>
      </c>
      <c r="L14" s="9">
        <f>+SUM(L15:L18)</f>
        <v>-5430.862</v>
      </c>
      <c r="M14" s="55">
        <f>+(L14-B14)/B14</f>
        <v>0</v>
      </c>
    </row>
    <row r="15" spans="1:13" ht="12.75">
      <c r="A15" s="4" t="s">
        <v>62</v>
      </c>
      <c r="B15" s="12">
        <f>'2016-17'!L15</f>
        <v>-6691.113</v>
      </c>
      <c r="C15" s="39"/>
      <c r="D15" s="15"/>
      <c r="E15" s="39"/>
      <c r="F15" s="15"/>
      <c r="G15" s="39"/>
      <c r="H15" s="15"/>
      <c r="I15" s="39"/>
      <c r="J15" s="15"/>
      <c r="K15" s="39"/>
      <c r="L15" s="12">
        <f>+B15+SUM(C15:K15)</f>
        <v>-6691.113</v>
      </c>
      <c r="M15" s="56">
        <f>+(L15-B15)/B15</f>
        <v>0</v>
      </c>
    </row>
    <row r="16" spans="1:13" ht="12.75">
      <c r="A16" s="4" t="s">
        <v>63</v>
      </c>
      <c r="B16" s="12">
        <f>'2016-17'!L16</f>
        <v>487.539</v>
      </c>
      <c r="C16" s="39"/>
      <c r="D16" s="15"/>
      <c r="E16" s="39"/>
      <c r="F16" s="15"/>
      <c r="G16" s="39"/>
      <c r="H16" s="15"/>
      <c r="I16" s="39"/>
      <c r="J16" s="15"/>
      <c r="K16" s="39"/>
      <c r="L16" s="12">
        <f>+B16+SUM(C16:K16)</f>
        <v>487.539</v>
      </c>
      <c r="M16" s="56">
        <f>+(L16-B16)/B16</f>
        <v>0</v>
      </c>
    </row>
    <row r="17" spans="1:13" ht="12.75">
      <c r="A17" s="4" t="s">
        <v>64</v>
      </c>
      <c r="B17" s="12">
        <f>'2016-17'!L17</f>
        <v>306.045</v>
      </c>
      <c r="C17" s="39"/>
      <c r="D17" s="15"/>
      <c r="E17" s="39"/>
      <c r="F17" s="15"/>
      <c r="G17" s="39"/>
      <c r="H17" s="15"/>
      <c r="I17" s="39"/>
      <c r="J17" s="15"/>
      <c r="K17" s="39"/>
      <c r="L17" s="12">
        <f>+B17+SUM(C17:K17)</f>
        <v>306.045</v>
      </c>
      <c r="M17" s="56">
        <f>+(L17-B17)/B17</f>
        <v>0</v>
      </c>
    </row>
    <row r="18" spans="1:13" ht="12.75">
      <c r="A18" s="4" t="s">
        <v>68</v>
      </c>
      <c r="B18" s="12">
        <f>'2016-17'!L18</f>
        <v>466.66700000000003</v>
      </c>
      <c r="C18" s="39"/>
      <c r="D18" s="15"/>
      <c r="E18" s="39"/>
      <c r="F18" s="15"/>
      <c r="G18" s="39"/>
      <c r="H18" s="15"/>
      <c r="I18" s="39"/>
      <c r="J18" s="15"/>
      <c r="K18" s="39"/>
      <c r="L18" s="12">
        <f>+B18+SUM(C18:K18)</f>
        <v>466.66700000000003</v>
      </c>
      <c r="M18" s="56">
        <f>+(L18-B18)/B18</f>
        <v>0</v>
      </c>
    </row>
    <row r="19" spans="1:13" ht="12.75">
      <c r="A19" s="6"/>
      <c r="B19" s="9"/>
      <c r="C19" s="33"/>
      <c r="D19" s="10"/>
      <c r="E19" s="33"/>
      <c r="F19" s="10"/>
      <c r="G19" s="33"/>
      <c r="H19" s="10"/>
      <c r="I19" s="33"/>
      <c r="J19" s="10"/>
      <c r="K19" s="33"/>
      <c r="L19" s="9"/>
      <c r="M19" s="54"/>
    </row>
    <row r="20" spans="1:13" ht="12.75">
      <c r="A20" s="7" t="s">
        <v>103</v>
      </c>
      <c r="B20" s="9">
        <f>+SUM(B21:B23)</f>
        <v>3578.7299999999996</v>
      </c>
      <c r="C20" s="33">
        <f>+SUM(C21:C22)</f>
        <v>0</v>
      </c>
      <c r="D20" s="10">
        <f>+SUM(D21:D22)</f>
        <v>0</v>
      </c>
      <c r="E20" s="33">
        <f aca="true" t="shared" si="4" ref="E20:L20">+SUM(E21:E23)</f>
        <v>0</v>
      </c>
      <c r="F20" s="10">
        <f t="shared" si="4"/>
        <v>0</v>
      </c>
      <c r="G20" s="33">
        <f t="shared" si="4"/>
        <v>0</v>
      </c>
      <c r="H20" s="10">
        <f t="shared" si="4"/>
        <v>0</v>
      </c>
      <c r="I20" s="33">
        <f t="shared" si="4"/>
        <v>-200</v>
      </c>
      <c r="J20" s="10">
        <f t="shared" si="4"/>
        <v>0</v>
      </c>
      <c r="K20" s="33">
        <f t="shared" si="4"/>
        <v>0</v>
      </c>
      <c r="L20" s="9">
        <f t="shared" si="4"/>
        <v>3378.7299999999996</v>
      </c>
      <c r="M20" s="55">
        <f>+(L20-B20)/B20</f>
        <v>-0.055885747178468344</v>
      </c>
    </row>
    <row r="21" spans="1:13" ht="12.75">
      <c r="A21" s="3" t="s">
        <v>17</v>
      </c>
      <c r="B21" s="12">
        <f>'2016-17'!L21</f>
        <v>638.0350000000001</v>
      </c>
      <c r="C21" s="39"/>
      <c r="D21" s="15"/>
      <c r="E21" s="39"/>
      <c r="F21" s="15"/>
      <c r="G21" s="39"/>
      <c r="H21" s="15"/>
      <c r="I21" s="39"/>
      <c r="J21" s="15"/>
      <c r="K21" s="39"/>
      <c r="L21" s="12">
        <f>+B21+SUM(C21:K21)</f>
        <v>638.0350000000001</v>
      </c>
      <c r="M21" s="56">
        <f>+(L21-B21)/B21</f>
        <v>0</v>
      </c>
    </row>
    <row r="22" spans="1:13" ht="12.75">
      <c r="A22" s="3" t="s">
        <v>18</v>
      </c>
      <c r="B22" s="12">
        <f>'2016-17'!L22</f>
        <v>3746.107</v>
      </c>
      <c r="C22" s="39"/>
      <c r="D22" s="15"/>
      <c r="E22" s="39"/>
      <c r="F22" s="15"/>
      <c r="G22" s="39"/>
      <c r="H22" s="15"/>
      <c r="I22" s="39"/>
      <c r="J22" s="15"/>
      <c r="K22" s="39"/>
      <c r="L22" s="12">
        <f>+B22+SUM(C22:K22)</f>
        <v>3746.107</v>
      </c>
      <c r="M22" s="56">
        <f>+(L22-B22)/B22</f>
        <v>0</v>
      </c>
    </row>
    <row r="23" spans="1:13" ht="12.75">
      <c r="A23" s="3" t="s">
        <v>106</v>
      </c>
      <c r="B23" s="14">
        <f>'2016-17'!L23</f>
        <v>-805.412</v>
      </c>
      <c r="C23" s="33"/>
      <c r="D23" s="10"/>
      <c r="E23" s="33"/>
      <c r="F23" s="10"/>
      <c r="G23" s="39"/>
      <c r="H23" s="10"/>
      <c r="I23" s="39">
        <v>-200</v>
      </c>
      <c r="J23" s="10"/>
      <c r="K23" s="33"/>
      <c r="L23" s="12">
        <f>+B23+SUM(C23:K23)</f>
        <v>-1005.412</v>
      </c>
      <c r="M23" s="56">
        <f>+(L23-B23)/B23</f>
        <v>0.2483201144259087</v>
      </c>
    </row>
    <row r="24" spans="1:13" s="31" customFormat="1" ht="15">
      <c r="A24" s="5"/>
      <c r="B24" s="9"/>
      <c r="C24" s="33"/>
      <c r="D24" s="10"/>
      <c r="E24" s="33"/>
      <c r="F24" s="10"/>
      <c r="G24" s="33"/>
      <c r="H24" s="10"/>
      <c r="I24" s="33"/>
      <c r="J24" s="10"/>
      <c r="K24" s="33"/>
      <c r="L24" s="9"/>
      <c r="M24" s="54"/>
    </row>
    <row r="25" spans="1:13" ht="31.5">
      <c r="A25" s="57" t="s">
        <v>75</v>
      </c>
      <c r="B25" s="25">
        <f aca="true" t="shared" si="5" ref="B25:L25">+B27+B34+B41+B48+B55</f>
        <v>4641.522999999999</v>
      </c>
      <c r="C25" s="30">
        <f t="shared" si="5"/>
        <v>0</v>
      </c>
      <c r="D25" s="26">
        <f t="shared" si="5"/>
        <v>0</v>
      </c>
      <c r="E25" s="30">
        <f t="shared" si="5"/>
        <v>5</v>
      </c>
      <c r="F25" s="26">
        <f t="shared" si="5"/>
        <v>-110</v>
      </c>
      <c r="G25" s="30">
        <f t="shared" si="5"/>
        <v>-120</v>
      </c>
      <c r="H25" s="26">
        <f t="shared" si="5"/>
        <v>-38</v>
      </c>
      <c r="I25" s="30">
        <f t="shared" si="5"/>
        <v>0</v>
      </c>
      <c r="J25" s="26">
        <f t="shared" si="5"/>
        <v>0</v>
      </c>
      <c r="K25" s="30">
        <f t="shared" si="5"/>
        <v>0</v>
      </c>
      <c r="L25" s="25">
        <f t="shared" si="5"/>
        <v>4378.522999999999</v>
      </c>
      <c r="M25" s="53">
        <f>+(L25-B25)/B25</f>
        <v>-0.056662436015075236</v>
      </c>
    </row>
    <row r="26" spans="1:13" ht="12.75">
      <c r="A26" s="5"/>
      <c r="B26" s="9"/>
      <c r="C26" s="33"/>
      <c r="D26" s="10"/>
      <c r="E26" s="33"/>
      <c r="F26" s="10"/>
      <c r="G26" s="33"/>
      <c r="H26" s="10"/>
      <c r="I26" s="33"/>
      <c r="J26" s="10"/>
      <c r="K26" s="33"/>
      <c r="L26" s="12"/>
      <c r="M26" s="54"/>
    </row>
    <row r="27" spans="1:13" ht="12.75">
      <c r="A27" s="5" t="s">
        <v>31</v>
      </c>
      <c r="B27" s="9">
        <f aca="true" t="shared" si="6" ref="B27:L27">+SUM(B28:B32)</f>
        <v>194.52299999999997</v>
      </c>
      <c r="C27" s="34">
        <f t="shared" si="6"/>
        <v>0</v>
      </c>
      <c r="D27" s="11">
        <f t="shared" si="6"/>
        <v>0</v>
      </c>
      <c r="E27" s="34">
        <f t="shared" si="6"/>
        <v>0</v>
      </c>
      <c r="F27" s="11">
        <f t="shared" si="6"/>
        <v>0</v>
      </c>
      <c r="G27" s="34">
        <f t="shared" si="6"/>
        <v>0</v>
      </c>
      <c r="H27" s="11">
        <f t="shared" si="6"/>
        <v>0</v>
      </c>
      <c r="I27" s="34">
        <f t="shared" si="6"/>
        <v>0</v>
      </c>
      <c r="J27" s="11">
        <f t="shared" si="6"/>
        <v>0</v>
      </c>
      <c r="K27" s="34">
        <f t="shared" si="6"/>
        <v>0</v>
      </c>
      <c r="L27" s="9">
        <f t="shared" si="6"/>
        <v>194.52299999999997</v>
      </c>
      <c r="M27" s="55">
        <f aca="true" t="shared" si="7" ref="M27:M32">+(L27-B27)/B27</f>
        <v>0</v>
      </c>
    </row>
    <row r="28" spans="1:13" ht="12.75">
      <c r="A28" s="2" t="s">
        <v>33</v>
      </c>
      <c r="B28" s="12">
        <f>'2016-17'!L28</f>
        <v>3.0090000000000003</v>
      </c>
      <c r="C28" s="39"/>
      <c r="D28" s="15"/>
      <c r="E28" s="39"/>
      <c r="F28" s="15"/>
      <c r="G28" s="39"/>
      <c r="H28" s="15"/>
      <c r="I28" s="39"/>
      <c r="J28" s="15"/>
      <c r="K28" s="39"/>
      <c r="L28" s="12">
        <f>+B28+SUM(C28:K28)</f>
        <v>3.0090000000000003</v>
      </c>
      <c r="M28" s="56">
        <f t="shared" si="7"/>
        <v>0</v>
      </c>
    </row>
    <row r="29" spans="1:13" ht="12.75">
      <c r="A29" s="2" t="s">
        <v>35</v>
      </c>
      <c r="B29" s="12">
        <f>'2016-17'!L29</f>
        <v>0.03</v>
      </c>
      <c r="C29" s="39"/>
      <c r="D29" s="15"/>
      <c r="E29" s="39"/>
      <c r="F29" s="15"/>
      <c r="G29" s="39"/>
      <c r="H29" s="15"/>
      <c r="I29" s="39"/>
      <c r="J29" s="15"/>
      <c r="K29" s="39"/>
      <c r="L29" s="12">
        <f>+B29+SUM(C29:K29)</f>
        <v>0.03</v>
      </c>
      <c r="M29" s="56">
        <f t="shared" si="7"/>
        <v>0</v>
      </c>
    </row>
    <row r="30" spans="1:13" ht="12.75">
      <c r="A30" s="2" t="s">
        <v>32</v>
      </c>
      <c r="B30" s="12">
        <f>'2016-17'!L30</f>
        <v>56.317</v>
      </c>
      <c r="C30" s="39"/>
      <c r="D30" s="15"/>
      <c r="E30" s="39"/>
      <c r="F30" s="15"/>
      <c r="G30" s="39"/>
      <c r="H30" s="15"/>
      <c r="I30" s="39"/>
      <c r="J30" s="15"/>
      <c r="K30" s="39"/>
      <c r="L30" s="12">
        <f>+B30+SUM(C30:K30)</f>
        <v>56.317</v>
      </c>
      <c r="M30" s="56">
        <f t="shared" si="7"/>
        <v>0</v>
      </c>
    </row>
    <row r="31" spans="1:13" ht="12.75">
      <c r="A31" s="2" t="s">
        <v>36</v>
      </c>
      <c r="B31" s="12">
        <f>'2016-17'!L31</f>
        <v>176.77999999999997</v>
      </c>
      <c r="C31" s="39"/>
      <c r="D31" s="15"/>
      <c r="E31" s="39"/>
      <c r="F31" s="15"/>
      <c r="G31" s="39"/>
      <c r="H31" s="15"/>
      <c r="I31" s="39"/>
      <c r="J31" s="15"/>
      <c r="K31" s="39"/>
      <c r="L31" s="12">
        <f>+B31+SUM(C31:K31)</f>
        <v>176.77999999999997</v>
      </c>
      <c r="M31" s="56">
        <f t="shared" si="7"/>
        <v>0</v>
      </c>
    </row>
    <row r="32" spans="1:13" ht="12.75">
      <c r="A32" s="2" t="s">
        <v>19</v>
      </c>
      <c r="B32" s="12">
        <f>'2016-17'!L32</f>
        <v>-41.613</v>
      </c>
      <c r="C32" s="39"/>
      <c r="D32" s="15"/>
      <c r="E32" s="39"/>
      <c r="F32" s="15"/>
      <c r="G32" s="39"/>
      <c r="H32" s="15"/>
      <c r="I32" s="39"/>
      <c r="J32" s="15"/>
      <c r="K32" s="39"/>
      <c r="L32" s="12">
        <f>+B32+SUM(C32:K32)</f>
        <v>-41.613</v>
      </c>
      <c r="M32" s="56">
        <f t="shared" si="7"/>
        <v>0</v>
      </c>
    </row>
    <row r="33" spans="1:13" ht="12.75">
      <c r="A33" s="2"/>
      <c r="B33" s="14"/>
      <c r="C33" s="39"/>
      <c r="D33" s="15"/>
      <c r="E33" s="39"/>
      <c r="F33" s="15"/>
      <c r="G33" s="39"/>
      <c r="H33" s="15"/>
      <c r="I33" s="39"/>
      <c r="J33" s="15"/>
      <c r="K33" s="39"/>
      <c r="L33" s="12"/>
      <c r="M33" s="56"/>
    </row>
    <row r="34" spans="1:13" ht="15.75" customHeight="1">
      <c r="A34" s="5" t="s">
        <v>76</v>
      </c>
      <c r="B34" s="9">
        <f>SUM(B35:B39)</f>
        <v>782.889</v>
      </c>
      <c r="C34" s="33">
        <f>SUM(C35:C39)</f>
        <v>0</v>
      </c>
      <c r="D34" s="10">
        <f>SUM(D35:D39)</f>
        <v>0</v>
      </c>
      <c r="E34" s="33">
        <f>SUM(E35:E39)</f>
        <v>5</v>
      </c>
      <c r="F34" s="10">
        <f aca="true" t="shared" si="8" ref="F34:L34">SUM(F35:F39)</f>
        <v>0</v>
      </c>
      <c r="G34" s="33">
        <f t="shared" si="8"/>
        <v>0</v>
      </c>
      <c r="H34" s="10">
        <f t="shared" si="8"/>
        <v>0</v>
      </c>
      <c r="I34" s="33">
        <f t="shared" si="8"/>
        <v>0</v>
      </c>
      <c r="J34" s="10">
        <f t="shared" si="8"/>
        <v>0</v>
      </c>
      <c r="K34" s="33">
        <f t="shared" si="8"/>
        <v>0</v>
      </c>
      <c r="L34" s="9">
        <f t="shared" si="8"/>
        <v>787.889</v>
      </c>
      <c r="M34" s="55">
        <f aca="true" t="shared" si="9" ref="M34:M39">+(L34-B34)/B34</f>
        <v>0.006386601421146548</v>
      </c>
    </row>
    <row r="35" spans="1:13" ht="12.75">
      <c r="A35" s="99" t="s">
        <v>94</v>
      </c>
      <c r="B35" s="12">
        <f>'2016-17'!L35</f>
        <v>-65.525</v>
      </c>
      <c r="C35" s="39"/>
      <c r="D35" s="15"/>
      <c r="E35" s="39"/>
      <c r="F35" s="15"/>
      <c r="G35" s="39"/>
      <c r="H35" s="15"/>
      <c r="I35" s="39"/>
      <c r="J35" s="15"/>
      <c r="K35" s="39"/>
      <c r="L35" s="12">
        <f>+B35+SUM(C35:K35)</f>
        <v>-65.525</v>
      </c>
      <c r="M35" s="56">
        <f t="shared" si="9"/>
        <v>0</v>
      </c>
    </row>
    <row r="36" spans="1:13" ht="12.75">
      <c r="A36" s="99" t="s">
        <v>0</v>
      </c>
      <c r="B36" s="12">
        <f>'2016-17'!L36</f>
        <v>385.43399999999997</v>
      </c>
      <c r="C36" s="39"/>
      <c r="D36" s="15"/>
      <c r="E36" s="39"/>
      <c r="F36" s="15"/>
      <c r="G36" s="39"/>
      <c r="H36" s="15"/>
      <c r="I36" s="39"/>
      <c r="J36" s="15"/>
      <c r="K36" s="39"/>
      <c r="L36" s="12">
        <f>+B36+SUM(C36:K36)</f>
        <v>385.43399999999997</v>
      </c>
      <c r="M36" s="56">
        <f t="shared" si="9"/>
        <v>0</v>
      </c>
    </row>
    <row r="37" spans="1:13" ht="12.75">
      <c r="A37" s="20" t="s">
        <v>67</v>
      </c>
      <c r="B37" s="12">
        <f>'2016-17'!L37</f>
        <v>-90.748</v>
      </c>
      <c r="C37" s="39"/>
      <c r="D37" s="15"/>
      <c r="E37" s="39"/>
      <c r="F37" s="15"/>
      <c r="G37" s="39"/>
      <c r="H37" s="15"/>
      <c r="I37" s="39"/>
      <c r="J37" s="15"/>
      <c r="K37" s="39"/>
      <c r="L37" s="12">
        <f>+B37+SUM(C37:K37)</f>
        <v>-90.748</v>
      </c>
      <c r="M37" s="56">
        <f t="shared" si="9"/>
        <v>0</v>
      </c>
    </row>
    <row r="38" spans="1:13" ht="12.75">
      <c r="A38" s="99" t="s">
        <v>95</v>
      </c>
      <c r="B38" s="12">
        <f>'2016-17'!L38</f>
        <v>54.007999999999996</v>
      </c>
      <c r="C38" s="39"/>
      <c r="D38" s="15"/>
      <c r="E38" s="39"/>
      <c r="F38" s="15"/>
      <c r="G38" s="39"/>
      <c r="H38" s="15"/>
      <c r="I38" s="39"/>
      <c r="J38" s="15"/>
      <c r="K38" s="39"/>
      <c r="L38" s="12">
        <f>+B38+SUM(C38:K38)</f>
        <v>54.007999999999996</v>
      </c>
      <c r="M38" s="56">
        <f t="shared" si="9"/>
        <v>0</v>
      </c>
    </row>
    <row r="39" spans="1:13" ht="12.75">
      <c r="A39" s="3" t="s">
        <v>77</v>
      </c>
      <c r="B39" s="12">
        <f>'2016-17'!L39</f>
        <v>499.72</v>
      </c>
      <c r="C39" s="39"/>
      <c r="D39" s="15"/>
      <c r="E39" s="39">
        <v>5</v>
      </c>
      <c r="F39" s="15"/>
      <c r="G39" s="39"/>
      <c r="H39" s="15"/>
      <c r="I39" s="39"/>
      <c r="J39" s="15"/>
      <c r="K39" s="39"/>
      <c r="L39" s="12">
        <f>+B39+SUM(C39:K39)</f>
        <v>504.72</v>
      </c>
      <c r="M39" s="56">
        <f t="shared" si="9"/>
        <v>0.010005603137757144</v>
      </c>
    </row>
    <row r="40" spans="1:14" ht="12.75">
      <c r="A40" s="20"/>
      <c r="B40" s="102"/>
      <c r="C40" s="39"/>
      <c r="D40" s="15"/>
      <c r="E40" s="39"/>
      <c r="F40" s="103"/>
      <c r="G40" s="103"/>
      <c r="H40" s="103"/>
      <c r="I40" s="103"/>
      <c r="J40" s="103"/>
      <c r="K40" s="103"/>
      <c r="L40" s="104"/>
      <c r="M40" s="88"/>
      <c r="N40" s="105"/>
    </row>
    <row r="41" spans="1:13" ht="12.75">
      <c r="A41" s="5" t="s">
        <v>39</v>
      </c>
      <c r="B41" s="9">
        <f>+SUM(B42:B46)</f>
        <v>3427.4069999999997</v>
      </c>
      <c r="C41" s="33">
        <f>+SUM(C42:C46)</f>
        <v>0</v>
      </c>
      <c r="D41" s="10">
        <f>+SUM(D42:D46)</f>
        <v>0</v>
      </c>
      <c r="E41" s="33">
        <f aca="true" t="shared" si="10" ref="E41:L41">+SUM(E42:E46)</f>
        <v>0</v>
      </c>
      <c r="F41" s="10">
        <f t="shared" si="10"/>
        <v>-110</v>
      </c>
      <c r="G41" s="33">
        <f t="shared" si="10"/>
        <v>-120</v>
      </c>
      <c r="H41" s="10">
        <f t="shared" si="10"/>
        <v>-38</v>
      </c>
      <c r="I41" s="33">
        <f t="shared" si="10"/>
        <v>0</v>
      </c>
      <c r="J41" s="10">
        <f t="shared" si="10"/>
        <v>0</v>
      </c>
      <c r="K41" s="33">
        <f t="shared" si="10"/>
        <v>0</v>
      </c>
      <c r="L41" s="9">
        <f t="shared" si="10"/>
        <v>3159.4069999999997</v>
      </c>
      <c r="M41" s="55">
        <f aca="true" t="shared" si="11" ref="M41:M46">+(L41-B41)/B41</f>
        <v>-0.07819322304004164</v>
      </c>
    </row>
    <row r="42" spans="1:13" ht="12.75">
      <c r="A42" s="3" t="s">
        <v>78</v>
      </c>
      <c r="B42" s="12">
        <f>'2016-17'!L42</f>
        <v>30.015</v>
      </c>
      <c r="C42" s="39"/>
      <c r="D42" s="15"/>
      <c r="E42" s="39"/>
      <c r="F42" s="15"/>
      <c r="G42" s="39"/>
      <c r="H42" s="15"/>
      <c r="I42" s="39"/>
      <c r="J42" s="15"/>
      <c r="K42" s="39"/>
      <c r="L42" s="12">
        <f>+B42+SUM(C42:K42)</f>
        <v>30.015</v>
      </c>
      <c r="M42" s="56">
        <f t="shared" si="11"/>
        <v>0</v>
      </c>
    </row>
    <row r="43" spans="1:13" ht="12.75">
      <c r="A43" s="3" t="s">
        <v>79</v>
      </c>
      <c r="B43" s="12">
        <f>'2016-17'!L43</f>
        <v>-189.494</v>
      </c>
      <c r="C43" s="39"/>
      <c r="D43" s="15"/>
      <c r="E43" s="39"/>
      <c r="F43" s="15"/>
      <c r="G43" s="39">
        <f>-45+-75</f>
        <v>-120</v>
      </c>
      <c r="H43" s="15"/>
      <c r="I43" s="39"/>
      <c r="J43" s="15"/>
      <c r="K43" s="39"/>
      <c r="L43" s="12">
        <f>+B43+SUM(C43:K43)</f>
        <v>-309.494</v>
      </c>
      <c r="M43" s="56">
        <f t="shared" si="11"/>
        <v>0.6332654332063286</v>
      </c>
    </row>
    <row r="44" spans="1:13" ht="12.75">
      <c r="A44" s="3" t="s">
        <v>19</v>
      </c>
      <c r="B44" s="12">
        <f>'2016-17'!L44</f>
        <v>1174.7269999999999</v>
      </c>
      <c r="C44" s="39"/>
      <c r="D44" s="15"/>
      <c r="E44" s="39"/>
      <c r="F44" s="15"/>
      <c r="G44" s="39"/>
      <c r="H44" s="15">
        <v>-38</v>
      </c>
      <c r="I44" s="39"/>
      <c r="J44" s="15"/>
      <c r="K44" s="39"/>
      <c r="L44" s="12">
        <f>+B44+SUM(C44:K44)</f>
        <v>1136.7269999999999</v>
      </c>
      <c r="M44" s="56">
        <f t="shared" si="11"/>
        <v>-0.032347941266353805</v>
      </c>
    </row>
    <row r="45" spans="1:13" ht="12.75">
      <c r="A45" s="3" t="s">
        <v>53</v>
      </c>
      <c r="B45" s="12">
        <f>'2016-17'!L45</f>
        <v>2412.309</v>
      </c>
      <c r="C45" s="39"/>
      <c r="D45" s="15"/>
      <c r="E45" s="39"/>
      <c r="F45" s="15">
        <f>-25+-85</f>
        <v>-110</v>
      </c>
      <c r="G45" s="39"/>
      <c r="H45" s="15"/>
      <c r="I45" s="39"/>
      <c r="J45" s="15"/>
      <c r="K45" s="39"/>
      <c r="L45" s="12">
        <f>+B45+SUM(C45:K45)</f>
        <v>2302.309</v>
      </c>
      <c r="M45" s="56">
        <f t="shared" si="11"/>
        <v>-0.04559946507682058</v>
      </c>
    </row>
    <row r="46" spans="1:13" ht="12.75">
      <c r="A46" s="3" t="s">
        <v>80</v>
      </c>
      <c r="B46" s="12">
        <f>'2016-17'!L46</f>
        <v>-0.15</v>
      </c>
      <c r="C46" s="39"/>
      <c r="D46" s="15"/>
      <c r="E46" s="39"/>
      <c r="F46" s="15"/>
      <c r="G46" s="39"/>
      <c r="H46" s="15"/>
      <c r="I46" s="39"/>
      <c r="J46" s="15"/>
      <c r="K46" s="39"/>
      <c r="L46" s="12">
        <f>+B46+SUM(C46:K46)</f>
        <v>-0.15</v>
      </c>
      <c r="M46" s="56">
        <f t="shared" si="11"/>
        <v>0</v>
      </c>
    </row>
    <row r="47" spans="1:13" ht="12.75">
      <c r="A47" s="20"/>
      <c r="B47" s="14"/>
      <c r="C47" s="39"/>
      <c r="D47" s="15"/>
      <c r="E47" s="39"/>
      <c r="F47" s="15"/>
      <c r="G47" s="39"/>
      <c r="H47" s="15"/>
      <c r="I47" s="39"/>
      <c r="J47" s="15"/>
      <c r="K47" s="39"/>
      <c r="L47" s="12"/>
      <c r="M47" s="56"/>
    </row>
    <row r="48" spans="1:13" ht="17.25" customHeight="1">
      <c r="A48" s="5" t="s">
        <v>84</v>
      </c>
      <c r="B48" s="9">
        <f>+SUM(B49:B53)</f>
        <v>239.33500000000004</v>
      </c>
      <c r="C48" s="34">
        <f>+SUM(C49:C53)</f>
        <v>0</v>
      </c>
      <c r="D48" s="11">
        <f>+SUM(D49:D53)</f>
        <v>0</v>
      </c>
      <c r="E48" s="34">
        <f>+SUM(E49:E53)</f>
        <v>0</v>
      </c>
      <c r="F48" s="11">
        <f aca="true" t="shared" si="12" ref="F48:L48">+SUM(F49:F53)</f>
        <v>0</v>
      </c>
      <c r="G48" s="34">
        <f t="shared" si="12"/>
        <v>0</v>
      </c>
      <c r="H48" s="11">
        <f t="shared" si="12"/>
        <v>0</v>
      </c>
      <c r="I48" s="34">
        <f t="shared" si="12"/>
        <v>0</v>
      </c>
      <c r="J48" s="11">
        <f t="shared" si="12"/>
        <v>0</v>
      </c>
      <c r="K48" s="34">
        <f t="shared" si="12"/>
        <v>0</v>
      </c>
      <c r="L48" s="9">
        <f t="shared" si="12"/>
        <v>239.33500000000004</v>
      </c>
      <c r="M48" s="55">
        <f aca="true" t="shared" si="13" ref="M48:M53">+(L48-B48)/B48</f>
        <v>0</v>
      </c>
    </row>
    <row r="49" spans="1:13" ht="12.75">
      <c r="A49" s="2" t="s">
        <v>81</v>
      </c>
      <c r="B49" s="12">
        <f>'2016-17'!L49</f>
        <v>99.62200000000001</v>
      </c>
      <c r="C49" s="39"/>
      <c r="D49" s="15"/>
      <c r="E49" s="39"/>
      <c r="F49" s="15"/>
      <c r="G49" s="39"/>
      <c r="H49" s="15"/>
      <c r="I49" s="39"/>
      <c r="J49" s="15"/>
      <c r="K49" s="39"/>
      <c r="L49" s="12">
        <f>+B49+SUM(C49:K49)</f>
        <v>99.62200000000001</v>
      </c>
      <c r="M49" s="56">
        <f t="shared" si="13"/>
        <v>0</v>
      </c>
    </row>
    <row r="50" spans="1:13" ht="12.75">
      <c r="A50" s="2" t="s">
        <v>82</v>
      </c>
      <c r="B50" s="12">
        <f>'2016-17'!L50</f>
        <v>0.04</v>
      </c>
      <c r="C50" s="39"/>
      <c r="D50" s="15"/>
      <c r="E50" s="39"/>
      <c r="F50" s="15"/>
      <c r="G50" s="39"/>
      <c r="H50" s="15"/>
      <c r="I50" s="39"/>
      <c r="J50" s="15"/>
      <c r="K50" s="39"/>
      <c r="L50" s="12">
        <f>+B50+SUM(C50:K50)</f>
        <v>0.04</v>
      </c>
      <c r="M50" s="56">
        <f t="shared" si="13"/>
        <v>0</v>
      </c>
    </row>
    <row r="51" spans="1:13" ht="12.75">
      <c r="A51" s="2" t="s">
        <v>37</v>
      </c>
      <c r="B51" s="12">
        <f>'2016-17'!L51</f>
        <v>-46.741</v>
      </c>
      <c r="C51" s="39"/>
      <c r="D51" s="15"/>
      <c r="E51" s="39"/>
      <c r="F51" s="15"/>
      <c r="G51" s="39"/>
      <c r="H51" s="15"/>
      <c r="I51" s="39"/>
      <c r="J51" s="15"/>
      <c r="K51" s="39"/>
      <c r="L51" s="12">
        <f>+B51+SUM(C51:K51)</f>
        <v>-46.741</v>
      </c>
      <c r="M51" s="56">
        <f t="shared" si="13"/>
        <v>0</v>
      </c>
    </row>
    <row r="52" spans="1:13" ht="12.75">
      <c r="A52" s="2" t="s">
        <v>38</v>
      </c>
      <c r="B52" s="12">
        <f>'2016-17'!L52</f>
        <v>117.90299999999999</v>
      </c>
      <c r="C52" s="39"/>
      <c r="D52" s="15"/>
      <c r="E52" s="39"/>
      <c r="F52" s="15"/>
      <c r="G52" s="39"/>
      <c r="H52" s="15"/>
      <c r="I52" s="39"/>
      <c r="J52" s="15"/>
      <c r="K52" s="39"/>
      <c r="L52" s="12">
        <f>+B52+SUM(C52:K52)</f>
        <v>117.90299999999999</v>
      </c>
      <c r="M52" s="56">
        <f t="shared" si="13"/>
        <v>0</v>
      </c>
    </row>
    <row r="53" spans="1:13" ht="12.75">
      <c r="A53" s="20" t="s">
        <v>83</v>
      </c>
      <c r="B53" s="12">
        <f>'2016-17'!L53</f>
        <v>68.51100000000002</v>
      </c>
      <c r="C53" s="39"/>
      <c r="D53" s="15"/>
      <c r="E53" s="39"/>
      <c r="F53" s="15"/>
      <c r="G53" s="39"/>
      <c r="H53" s="15"/>
      <c r="I53" s="39"/>
      <c r="J53" s="15"/>
      <c r="K53" s="39"/>
      <c r="L53" s="12">
        <f>+B53+SUM(C53:K53)</f>
        <v>68.51100000000002</v>
      </c>
      <c r="M53" s="56">
        <f t="shared" si="13"/>
        <v>0</v>
      </c>
    </row>
    <row r="54" spans="1:13" ht="12.75">
      <c r="A54" s="6"/>
      <c r="B54" s="16"/>
      <c r="C54" s="41"/>
      <c r="D54" s="17"/>
      <c r="E54" s="41"/>
      <c r="F54" s="17"/>
      <c r="G54" s="41"/>
      <c r="H54" s="17"/>
      <c r="I54" s="41"/>
      <c r="J54" s="17"/>
      <c r="K54" s="41"/>
      <c r="L54" s="16"/>
      <c r="M54" s="54"/>
    </row>
    <row r="55" spans="1:13" ht="12.75">
      <c r="A55" s="5" t="s">
        <v>40</v>
      </c>
      <c r="B55" s="9">
        <f aca="true" t="shared" si="14" ref="B55:K55">+SUM(B56:B61)</f>
        <v>-2.6310000000000286</v>
      </c>
      <c r="C55" s="34">
        <f t="shared" si="14"/>
        <v>0</v>
      </c>
      <c r="D55" s="11">
        <f t="shared" si="14"/>
        <v>0</v>
      </c>
      <c r="E55" s="34">
        <f t="shared" si="14"/>
        <v>0</v>
      </c>
      <c r="F55" s="11">
        <f t="shared" si="14"/>
        <v>0</v>
      </c>
      <c r="G55" s="34">
        <f t="shared" si="14"/>
        <v>0</v>
      </c>
      <c r="H55" s="11">
        <f t="shared" si="14"/>
        <v>0</v>
      </c>
      <c r="I55" s="34">
        <f t="shared" si="14"/>
        <v>0</v>
      </c>
      <c r="J55" s="11">
        <f t="shared" si="14"/>
        <v>0</v>
      </c>
      <c r="K55" s="34">
        <f t="shared" si="14"/>
        <v>0</v>
      </c>
      <c r="L55" s="9">
        <f>+SUM(L56:L61)</f>
        <v>-2.6310000000000286</v>
      </c>
      <c r="M55" s="55">
        <f aca="true" t="shared" si="15" ref="M55:M61">+(L55-B55)/B55</f>
        <v>0</v>
      </c>
    </row>
    <row r="56" spans="1:13" ht="12.75">
      <c r="A56" s="3" t="s">
        <v>1</v>
      </c>
      <c r="B56" s="12">
        <f>'2016-17'!L56</f>
        <v>0.44599999999999973</v>
      </c>
      <c r="C56" s="39"/>
      <c r="D56" s="15"/>
      <c r="E56" s="39"/>
      <c r="F56" s="15"/>
      <c r="G56" s="39"/>
      <c r="H56" s="15"/>
      <c r="I56" s="39"/>
      <c r="J56" s="15"/>
      <c r="K56" s="39"/>
      <c r="L56" s="12">
        <f aca="true" t="shared" si="16" ref="L56:L61">+B56+SUM(C56:K56)</f>
        <v>0.44599999999999973</v>
      </c>
      <c r="M56" s="56">
        <f t="shared" si="15"/>
        <v>0</v>
      </c>
    </row>
    <row r="57" spans="1:13" ht="12.75">
      <c r="A57" s="3" t="s">
        <v>2</v>
      </c>
      <c r="B57" s="12">
        <f>'2016-17'!L57</f>
        <v>217.712</v>
      </c>
      <c r="C57" s="39"/>
      <c r="D57" s="15"/>
      <c r="E57" s="39"/>
      <c r="F57" s="15"/>
      <c r="G57" s="39"/>
      <c r="H57" s="15"/>
      <c r="I57" s="39"/>
      <c r="J57" s="15"/>
      <c r="K57" s="39"/>
      <c r="L57" s="12">
        <f t="shared" si="16"/>
        <v>217.712</v>
      </c>
      <c r="M57" s="56">
        <f t="shared" si="15"/>
        <v>0</v>
      </c>
    </row>
    <row r="58" spans="1:13" ht="12.75">
      <c r="A58" s="3" t="s">
        <v>48</v>
      </c>
      <c r="B58" s="12">
        <f>'2016-17'!L58</f>
        <v>97.92099999999999</v>
      </c>
      <c r="C58" s="39"/>
      <c r="D58" s="15"/>
      <c r="E58" s="39"/>
      <c r="F58" s="15"/>
      <c r="G58" s="39"/>
      <c r="H58" s="15"/>
      <c r="I58" s="39"/>
      <c r="J58" s="15"/>
      <c r="K58" s="39"/>
      <c r="L58" s="12">
        <f t="shared" si="16"/>
        <v>97.92099999999999</v>
      </c>
      <c r="M58" s="56">
        <f t="shared" si="15"/>
        <v>0</v>
      </c>
    </row>
    <row r="59" spans="1:13" ht="12.75">
      <c r="A59" s="3" t="s">
        <v>49</v>
      </c>
      <c r="B59" s="12">
        <f>'2016-17'!L59</f>
        <v>4.464</v>
      </c>
      <c r="C59" s="39"/>
      <c r="D59" s="15"/>
      <c r="E59" s="39"/>
      <c r="F59" s="15"/>
      <c r="G59" s="39"/>
      <c r="H59" s="15"/>
      <c r="I59" s="39"/>
      <c r="J59" s="15"/>
      <c r="K59" s="39"/>
      <c r="L59" s="12">
        <f t="shared" si="16"/>
        <v>4.464</v>
      </c>
      <c r="M59" s="56">
        <f t="shared" si="15"/>
        <v>0</v>
      </c>
    </row>
    <row r="60" spans="1:13" ht="12.75">
      <c r="A60" s="3" t="s">
        <v>50</v>
      </c>
      <c r="B60" s="12">
        <f>'2016-17'!L60</f>
        <v>0</v>
      </c>
      <c r="C60" s="39"/>
      <c r="D60" s="15"/>
      <c r="E60" s="39"/>
      <c r="F60" s="15"/>
      <c r="G60" s="39"/>
      <c r="H60" s="15"/>
      <c r="I60" s="39"/>
      <c r="J60" s="15"/>
      <c r="K60" s="39"/>
      <c r="L60" s="12">
        <f t="shared" si="16"/>
        <v>0</v>
      </c>
      <c r="M60" s="56" t="e">
        <f t="shared" si="15"/>
        <v>#DIV/0!</v>
      </c>
    </row>
    <row r="61" spans="1:13" ht="12.75">
      <c r="A61" s="3" t="s">
        <v>51</v>
      </c>
      <c r="B61" s="12">
        <f>'2016-17'!L61</f>
        <v>-323.174</v>
      </c>
      <c r="C61" s="39"/>
      <c r="D61" s="15"/>
      <c r="E61" s="39"/>
      <c r="F61" s="15"/>
      <c r="G61" s="39"/>
      <c r="H61" s="15"/>
      <c r="I61" s="39"/>
      <c r="J61" s="15"/>
      <c r="K61" s="39"/>
      <c r="L61" s="12">
        <f t="shared" si="16"/>
        <v>-323.174</v>
      </c>
      <c r="M61" s="56">
        <f t="shared" si="15"/>
        <v>0</v>
      </c>
    </row>
    <row r="62" spans="1:13" ht="12.75">
      <c r="A62" s="20"/>
      <c r="B62" s="12"/>
      <c r="C62" s="36"/>
      <c r="D62" s="13"/>
      <c r="E62" s="36"/>
      <c r="F62" s="13"/>
      <c r="G62" s="36"/>
      <c r="H62" s="13"/>
      <c r="I62" s="36"/>
      <c r="J62" s="13"/>
      <c r="K62" s="36"/>
      <c r="L62" s="12"/>
      <c r="M62" s="54"/>
    </row>
    <row r="63" spans="1:13" s="31" customFormat="1" ht="15.75">
      <c r="A63" s="52" t="s">
        <v>85</v>
      </c>
      <c r="B63" s="25">
        <f aca="true" t="shared" si="17" ref="B63:L63">+B65+B72+B86+B98</f>
        <v>12470.264999999998</v>
      </c>
      <c r="C63" s="30">
        <f t="shared" si="17"/>
        <v>0</v>
      </c>
      <c r="D63" s="26">
        <f t="shared" si="17"/>
        <v>0</v>
      </c>
      <c r="E63" s="30">
        <f t="shared" si="17"/>
        <v>166</v>
      </c>
      <c r="F63" s="26">
        <f t="shared" si="17"/>
        <v>0</v>
      </c>
      <c r="G63" s="30">
        <f t="shared" si="17"/>
        <v>-690</v>
      </c>
      <c r="H63" s="26">
        <f t="shared" si="17"/>
        <v>0</v>
      </c>
      <c r="I63" s="30">
        <f t="shared" si="17"/>
        <v>-16</v>
      </c>
      <c r="J63" s="26">
        <f t="shared" si="17"/>
        <v>0</v>
      </c>
      <c r="K63" s="30">
        <f t="shared" si="17"/>
        <v>0</v>
      </c>
      <c r="L63" s="25">
        <f t="shared" si="17"/>
        <v>11930.265</v>
      </c>
      <c r="M63" s="53">
        <f>+(L63-B63)/B63</f>
        <v>-0.043303009198280736</v>
      </c>
    </row>
    <row r="64" spans="1:13" ht="12.75">
      <c r="A64" s="6"/>
      <c r="B64" s="16"/>
      <c r="C64" s="41"/>
      <c r="D64" s="17"/>
      <c r="E64" s="41"/>
      <c r="F64" s="17"/>
      <c r="G64" s="41"/>
      <c r="H64" s="17"/>
      <c r="I64" s="41"/>
      <c r="J64" s="17"/>
      <c r="K64" s="41"/>
      <c r="L64" s="16"/>
      <c r="M64" s="54"/>
    </row>
    <row r="65" spans="1:13" ht="12.75">
      <c r="A65" s="5" t="s">
        <v>46</v>
      </c>
      <c r="B65" s="9">
        <f aca="true" t="shared" si="18" ref="B65:L65">+SUM(B66:B70)</f>
        <v>2703.6319999999996</v>
      </c>
      <c r="C65" s="33">
        <f t="shared" si="18"/>
        <v>0</v>
      </c>
      <c r="D65" s="10">
        <f t="shared" si="18"/>
        <v>0</v>
      </c>
      <c r="E65" s="33">
        <f t="shared" si="18"/>
        <v>0</v>
      </c>
      <c r="F65" s="10">
        <f t="shared" si="18"/>
        <v>0</v>
      </c>
      <c r="G65" s="33">
        <f t="shared" si="18"/>
        <v>0</v>
      </c>
      <c r="H65" s="10">
        <f t="shared" si="18"/>
        <v>0</v>
      </c>
      <c r="I65" s="33">
        <f t="shared" si="18"/>
        <v>0</v>
      </c>
      <c r="J65" s="10">
        <f t="shared" si="18"/>
        <v>0</v>
      </c>
      <c r="K65" s="33">
        <f t="shared" si="18"/>
        <v>0</v>
      </c>
      <c r="L65" s="9">
        <f t="shared" si="18"/>
        <v>2703.6319999999996</v>
      </c>
      <c r="M65" s="55">
        <f aca="true" t="shared" si="19" ref="M65:M70">+(L65-B65)/B65</f>
        <v>0</v>
      </c>
    </row>
    <row r="66" spans="1:13" ht="12.75">
      <c r="A66" s="2" t="s">
        <v>96</v>
      </c>
      <c r="B66" s="12">
        <f>'2016-17'!L66</f>
        <v>690.23</v>
      </c>
      <c r="C66" s="39"/>
      <c r="D66" s="15"/>
      <c r="E66" s="39"/>
      <c r="F66" s="15"/>
      <c r="G66" s="39"/>
      <c r="H66" s="15"/>
      <c r="I66" s="39"/>
      <c r="J66" s="15"/>
      <c r="K66" s="39"/>
      <c r="L66" s="12">
        <f>+B66+SUM(C66:K66)</f>
        <v>690.23</v>
      </c>
      <c r="M66" s="56">
        <f t="shared" si="19"/>
        <v>0</v>
      </c>
    </row>
    <row r="67" spans="1:13" ht="12.75">
      <c r="A67" s="2" t="s">
        <v>47</v>
      </c>
      <c r="B67" s="12">
        <f>'2016-17'!L67</f>
        <v>607.9169999999999</v>
      </c>
      <c r="C67" s="39"/>
      <c r="D67" s="15"/>
      <c r="E67" s="39"/>
      <c r="F67" s="15"/>
      <c r="G67" s="39"/>
      <c r="H67" s="15"/>
      <c r="I67" s="39"/>
      <c r="J67" s="15"/>
      <c r="K67" s="39"/>
      <c r="L67" s="12">
        <f>+B67+SUM(C67:K67)</f>
        <v>607.9169999999999</v>
      </c>
      <c r="M67" s="56">
        <f t="shared" si="19"/>
        <v>0</v>
      </c>
    </row>
    <row r="68" spans="1:13" ht="12.75">
      <c r="A68" s="2" t="s">
        <v>97</v>
      </c>
      <c r="B68" s="12">
        <f>'2016-17'!L68</f>
        <v>1024.097</v>
      </c>
      <c r="C68" s="39"/>
      <c r="D68" s="15"/>
      <c r="E68" s="39"/>
      <c r="F68" s="15"/>
      <c r="G68" s="39"/>
      <c r="H68" s="15"/>
      <c r="I68" s="39"/>
      <c r="J68" s="15"/>
      <c r="K68" s="39"/>
      <c r="L68" s="12">
        <f>+B68+SUM(C68:K68)</f>
        <v>1024.097</v>
      </c>
      <c r="M68" s="56">
        <f t="shared" si="19"/>
        <v>0</v>
      </c>
    </row>
    <row r="69" spans="1:13" ht="12.75">
      <c r="A69" s="2" t="s">
        <v>105</v>
      </c>
      <c r="B69" s="12">
        <f>'2016-17'!L69</f>
        <v>219.334</v>
      </c>
      <c r="C69" s="39"/>
      <c r="D69" s="15"/>
      <c r="E69" s="39"/>
      <c r="F69" s="15"/>
      <c r="G69" s="39"/>
      <c r="H69" s="15"/>
      <c r="I69" s="39"/>
      <c r="J69" s="15"/>
      <c r="K69" s="39"/>
      <c r="L69" s="12">
        <f>+B69+SUM(C69:K69)</f>
        <v>219.334</v>
      </c>
      <c r="M69" s="56">
        <f t="shared" si="19"/>
        <v>0</v>
      </c>
    </row>
    <row r="70" spans="1:13" ht="12.75">
      <c r="A70" s="2" t="s">
        <v>98</v>
      </c>
      <c r="B70" s="12">
        <f>'2016-17'!L70</f>
        <v>162.054</v>
      </c>
      <c r="C70" s="39"/>
      <c r="D70" s="15"/>
      <c r="E70" s="39"/>
      <c r="F70" s="15"/>
      <c r="G70" s="39"/>
      <c r="H70" s="15"/>
      <c r="I70" s="39"/>
      <c r="J70" s="15"/>
      <c r="K70" s="39"/>
      <c r="L70" s="12">
        <f>+B70+SUM(C70:K70)</f>
        <v>162.054</v>
      </c>
      <c r="M70" s="56">
        <f t="shared" si="19"/>
        <v>0</v>
      </c>
    </row>
    <row r="71" spans="1:13" ht="15" customHeight="1">
      <c r="A71" s="6"/>
      <c r="B71" s="16"/>
      <c r="C71" s="41"/>
      <c r="D71" s="17"/>
      <c r="E71" s="41"/>
      <c r="F71" s="17"/>
      <c r="G71" s="41"/>
      <c r="H71" s="17"/>
      <c r="I71" s="41"/>
      <c r="J71" s="17"/>
      <c r="K71" s="41"/>
      <c r="L71" s="16"/>
      <c r="M71" s="54"/>
    </row>
    <row r="72" spans="1:13" ht="12.75">
      <c r="A72" s="5" t="s">
        <v>73</v>
      </c>
      <c r="B72" s="9">
        <f>+SUM(B73:B84)</f>
        <v>2270.7709999999997</v>
      </c>
      <c r="C72" s="33">
        <f>+SUM(C73:C84)</f>
        <v>0</v>
      </c>
      <c r="D72" s="10">
        <f>+SUM(D73:D84)</f>
        <v>0</v>
      </c>
      <c r="E72" s="33">
        <f aca="true" t="shared" si="20" ref="E72:L72">+SUM(E73:E84)</f>
        <v>166</v>
      </c>
      <c r="F72" s="10">
        <f t="shared" si="20"/>
        <v>0</v>
      </c>
      <c r="G72" s="33">
        <f t="shared" si="20"/>
        <v>-540</v>
      </c>
      <c r="H72" s="10">
        <f t="shared" si="20"/>
        <v>0</v>
      </c>
      <c r="I72" s="33">
        <f t="shared" si="20"/>
        <v>-16</v>
      </c>
      <c r="J72" s="10">
        <f t="shared" si="20"/>
        <v>0</v>
      </c>
      <c r="K72" s="33">
        <f t="shared" si="20"/>
        <v>0</v>
      </c>
      <c r="L72" s="9">
        <f t="shared" si="20"/>
        <v>1880.771</v>
      </c>
      <c r="M72" s="55">
        <f aca="true" t="shared" si="21" ref="M72:M84">+(L72-B72)/B72</f>
        <v>-0.17174783366530566</v>
      </c>
    </row>
    <row r="73" spans="1:13" ht="12.75">
      <c r="A73" s="21" t="s">
        <v>86</v>
      </c>
      <c r="B73" s="12">
        <f>'2016-17'!L73</f>
        <v>-2664.2999999999997</v>
      </c>
      <c r="C73" s="39"/>
      <c r="D73" s="15"/>
      <c r="E73" s="39"/>
      <c r="F73" s="15"/>
      <c r="G73" s="39"/>
      <c r="H73" s="15"/>
      <c r="I73" s="39"/>
      <c r="J73" s="15"/>
      <c r="K73" s="39"/>
      <c r="L73" s="12">
        <f aca="true" t="shared" si="22" ref="L73:L84">+B73+SUM(C73:K73)</f>
        <v>-2664.2999999999997</v>
      </c>
      <c r="M73" s="56">
        <f t="shared" si="21"/>
        <v>0</v>
      </c>
    </row>
    <row r="74" spans="1:13" ht="12.75">
      <c r="A74" s="21" t="s">
        <v>87</v>
      </c>
      <c r="B74" s="12">
        <f>'2016-17'!L74</f>
        <v>-66.34</v>
      </c>
      <c r="C74" s="39"/>
      <c r="D74" s="15"/>
      <c r="E74" s="39"/>
      <c r="F74" s="15"/>
      <c r="G74" s="39"/>
      <c r="H74" s="15"/>
      <c r="I74" s="39"/>
      <c r="J74" s="15"/>
      <c r="K74" s="39"/>
      <c r="L74" s="12">
        <f t="shared" si="22"/>
        <v>-66.34</v>
      </c>
      <c r="M74" s="56">
        <f t="shared" si="21"/>
        <v>0</v>
      </c>
    </row>
    <row r="75" spans="1:13" ht="12.75">
      <c r="A75" s="21" t="s">
        <v>20</v>
      </c>
      <c r="B75" s="12">
        <f>'2016-17'!L75</f>
        <v>-4280.576</v>
      </c>
      <c r="C75" s="39"/>
      <c r="D75" s="15"/>
      <c r="E75" s="39"/>
      <c r="F75" s="15"/>
      <c r="G75" s="39">
        <v>-410</v>
      </c>
      <c r="H75" s="15"/>
      <c r="I75" s="39"/>
      <c r="J75" s="15"/>
      <c r="K75" s="39"/>
      <c r="L75" s="12">
        <f t="shared" si="22"/>
        <v>-4690.576</v>
      </c>
      <c r="M75" s="56">
        <f t="shared" si="21"/>
        <v>0.09578150230249387</v>
      </c>
    </row>
    <row r="76" spans="1:13" ht="12.75">
      <c r="A76" s="21" t="s">
        <v>21</v>
      </c>
      <c r="B76" s="12">
        <f>'2016-17'!L76</f>
        <v>3483.131</v>
      </c>
      <c r="C76" s="39"/>
      <c r="D76" s="15"/>
      <c r="E76" s="39"/>
      <c r="F76" s="15"/>
      <c r="G76" s="39"/>
      <c r="H76" s="15"/>
      <c r="I76" s="39">
        <v>-16</v>
      </c>
      <c r="J76" s="15"/>
      <c r="K76" s="39"/>
      <c r="L76" s="12">
        <f t="shared" si="22"/>
        <v>3467.131</v>
      </c>
      <c r="M76" s="56">
        <f t="shared" si="21"/>
        <v>-0.004593568257983981</v>
      </c>
    </row>
    <row r="77" spans="1:13" ht="12.75">
      <c r="A77" s="21" t="s">
        <v>88</v>
      </c>
      <c r="B77" s="12">
        <f>'2016-17'!L77</f>
        <v>-1296.9979999999998</v>
      </c>
      <c r="C77" s="39"/>
      <c r="D77" s="15"/>
      <c r="E77" s="39"/>
      <c r="F77" s="15"/>
      <c r="G77" s="39"/>
      <c r="H77" s="15"/>
      <c r="I77" s="39"/>
      <c r="J77" s="15"/>
      <c r="K77" s="39"/>
      <c r="L77" s="12">
        <f t="shared" si="22"/>
        <v>-1296.9979999999998</v>
      </c>
      <c r="M77" s="56">
        <f t="shared" si="21"/>
        <v>0</v>
      </c>
    </row>
    <row r="78" spans="1:13" ht="12.75">
      <c r="A78" s="21" t="s">
        <v>66</v>
      </c>
      <c r="B78" s="12">
        <f>'2016-17'!L78</f>
        <v>-148.942</v>
      </c>
      <c r="C78" s="39"/>
      <c r="D78" s="15"/>
      <c r="E78" s="39">
        <v>13</v>
      </c>
      <c r="F78" s="15"/>
      <c r="G78" s="39"/>
      <c r="H78" s="15"/>
      <c r="I78" s="39"/>
      <c r="J78" s="15"/>
      <c r="K78" s="39"/>
      <c r="L78" s="12">
        <f t="shared" si="22"/>
        <v>-135.942</v>
      </c>
      <c r="M78" s="56">
        <f t="shared" si="21"/>
        <v>-0.08728229780720011</v>
      </c>
    </row>
    <row r="79" spans="1:13" ht="12.75">
      <c r="A79" s="21" t="s">
        <v>22</v>
      </c>
      <c r="B79" s="12">
        <f>'2016-17'!L79</f>
        <v>3836.322</v>
      </c>
      <c r="C79" s="39"/>
      <c r="D79" s="15"/>
      <c r="E79" s="39">
        <v>2</v>
      </c>
      <c r="F79" s="15"/>
      <c r="G79" s="39"/>
      <c r="H79" s="15"/>
      <c r="I79" s="39"/>
      <c r="J79" s="15"/>
      <c r="K79" s="39"/>
      <c r="L79" s="12">
        <f t="shared" si="22"/>
        <v>3838.322</v>
      </c>
      <c r="M79" s="56">
        <f t="shared" si="21"/>
        <v>0.0005213326722835049</v>
      </c>
    </row>
    <row r="80" spans="1:13" ht="12.75">
      <c r="A80" s="21" t="s">
        <v>65</v>
      </c>
      <c r="B80" s="12">
        <f>'2016-17'!L80</f>
        <v>-1.1080000000000325</v>
      </c>
      <c r="C80" s="39"/>
      <c r="D80" s="15"/>
      <c r="E80" s="39">
        <v>43</v>
      </c>
      <c r="F80" s="15"/>
      <c r="G80" s="39"/>
      <c r="H80" s="15"/>
      <c r="I80" s="39"/>
      <c r="J80" s="15"/>
      <c r="K80" s="39"/>
      <c r="L80" s="12">
        <f t="shared" si="22"/>
        <v>41.89199999999997</v>
      </c>
      <c r="M80" s="56">
        <f t="shared" si="21"/>
        <v>-38.80866425992666</v>
      </c>
    </row>
    <row r="81" spans="1:13" ht="12.75">
      <c r="A81" s="21" t="s">
        <v>23</v>
      </c>
      <c r="B81" s="12">
        <f>'2016-17'!L81</f>
        <v>-53.421</v>
      </c>
      <c r="C81" s="39"/>
      <c r="D81" s="15"/>
      <c r="E81" s="39"/>
      <c r="F81" s="15"/>
      <c r="G81" s="39"/>
      <c r="H81" s="15"/>
      <c r="I81" s="39"/>
      <c r="J81" s="15"/>
      <c r="K81" s="39"/>
      <c r="L81" s="12">
        <f t="shared" si="22"/>
        <v>-53.421</v>
      </c>
      <c r="M81" s="56">
        <f t="shared" si="21"/>
        <v>0</v>
      </c>
    </row>
    <row r="82" spans="1:13" ht="12.75">
      <c r="A82" s="21" t="s">
        <v>89</v>
      </c>
      <c r="B82" s="12">
        <f>'2016-17'!L82</f>
        <v>-218.921</v>
      </c>
      <c r="C82" s="39"/>
      <c r="D82" s="15"/>
      <c r="E82" s="39"/>
      <c r="F82" s="15"/>
      <c r="G82" s="39"/>
      <c r="H82" s="15"/>
      <c r="I82" s="39"/>
      <c r="J82" s="15"/>
      <c r="K82" s="39"/>
      <c r="L82" s="12">
        <f t="shared" si="22"/>
        <v>-218.921</v>
      </c>
      <c r="M82" s="56">
        <f t="shared" si="21"/>
        <v>0</v>
      </c>
    </row>
    <row r="83" spans="1:13" ht="12.75" customHeight="1">
      <c r="A83" s="21" t="s">
        <v>24</v>
      </c>
      <c r="B83" s="12">
        <f>'2016-17'!L83</f>
        <v>2333.6690000000003</v>
      </c>
      <c r="C83" s="39"/>
      <c r="D83" s="15"/>
      <c r="E83" s="39"/>
      <c r="F83" s="15"/>
      <c r="G83" s="39">
        <v>-150</v>
      </c>
      <c r="H83" s="15"/>
      <c r="I83" s="39"/>
      <c r="J83" s="15"/>
      <c r="K83" s="39"/>
      <c r="L83" s="12">
        <f t="shared" si="22"/>
        <v>2183.6690000000003</v>
      </c>
      <c r="M83" s="56">
        <f t="shared" si="21"/>
        <v>-0.06427646765672423</v>
      </c>
    </row>
    <row r="84" spans="1:13" ht="12.75" customHeight="1">
      <c r="A84" s="21" t="s">
        <v>25</v>
      </c>
      <c r="B84" s="12">
        <f>'2016-17'!L84</f>
        <v>1348.255</v>
      </c>
      <c r="C84" s="39"/>
      <c r="D84" s="15"/>
      <c r="E84" s="39">
        <v>108</v>
      </c>
      <c r="F84" s="15"/>
      <c r="G84" s="39">
        <v>20</v>
      </c>
      <c r="H84" s="15"/>
      <c r="I84" s="39"/>
      <c r="J84" s="15"/>
      <c r="K84" s="39"/>
      <c r="L84" s="12">
        <f t="shared" si="22"/>
        <v>1476.255</v>
      </c>
      <c r="M84" s="56">
        <f t="shared" si="21"/>
        <v>0.09493753036332148</v>
      </c>
    </row>
    <row r="85" spans="1:14" ht="12.75" customHeight="1">
      <c r="A85" s="6"/>
      <c r="B85" s="102"/>
      <c r="C85" s="39"/>
      <c r="D85" s="15"/>
      <c r="E85" s="39"/>
      <c r="F85" s="103"/>
      <c r="G85" s="103"/>
      <c r="H85" s="103"/>
      <c r="I85" s="103"/>
      <c r="J85" s="103"/>
      <c r="K85" s="103"/>
      <c r="L85" s="102"/>
      <c r="M85" s="89"/>
      <c r="N85" s="105"/>
    </row>
    <row r="86" spans="1:13" ht="12.75" customHeight="1">
      <c r="A86" s="7" t="s">
        <v>104</v>
      </c>
      <c r="B86" s="9">
        <f>+SUM(B87:B96)</f>
        <v>7155.6759999999995</v>
      </c>
      <c r="C86" s="34">
        <f>+SUM(C87:C94)</f>
        <v>0</v>
      </c>
      <c r="D86" s="11">
        <f>+SUM(D87:D94)</f>
        <v>0</v>
      </c>
      <c r="E86" s="34">
        <f aca="true" t="shared" si="23" ref="E86:L86">+SUM(E87:E96)</f>
        <v>0</v>
      </c>
      <c r="F86" s="11">
        <f t="shared" si="23"/>
        <v>0</v>
      </c>
      <c r="G86" s="34">
        <f t="shared" si="23"/>
        <v>-150</v>
      </c>
      <c r="H86" s="11">
        <f t="shared" si="23"/>
        <v>0</v>
      </c>
      <c r="I86" s="34">
        <f t="shared" si="23"/>
        <v>0</v>
      </c>
      <c r="J86" s="11">
        <f t="shared" si="23"/>
        <v>0</v>
      </c>
      <c r="K86" s="34">
        <f t="shared" si="23"/>
        <v>0</v>
      </c>
      <c r="L86" s="9">
        <f t="shared" si="23"/>
        <v>7005.676</v>
      </c>
      <c r="M86" s="55">
        <f aca="true" t="shared" si="24" ref="M86:M96">+(L86-B86)/B86</f>
        <v>-0.02096238007422347</v>
      </c>
    </row>
    <row r="87" spans="1:13" ht="12.75">
      <c r="A87" s="4" t="s">
        <v>55</v>
      </c>
      <c r="B87" s="12">
        <f>'2016-17'!L87</f>
        <v>1452.77</v>
      </c>
      <c r="C87" s="39"/>
      <c r="D87" s="15"/>
      <c r="E87" s="39"/>
      <c r="F87" s="15"/>
      <c r="G87" s="39">
        <v>-150</v>
      </c>
      <c r="H87" s="15"/>
      <c r="I87" s="39"/>
      <c r="J87" s="15"/>
      <c r="K87" s="39"/>
      <c r="L87" s="12">
        <f aca="true" t="shared" si="25" ref="L87:L96">+B87+SUM(C87:K87)</f>
        <v>1302.77</v>
      </c>
      <c r="M87" s="56">
        <f t="shared" si="24"/>
        <v>-0.10325103078945738</v>
      </c>
    </row>
    <row r="88" spans="1:13" ht="12.75">
      <c r="A88" s="4" t="s">
        <v>72</v>
      </c>
      <c r="B88" s="12">
        <f>'2016-17'!L88</f>
        <v>90.75999999999999</v>
      </c>
      <c r="C88" s="39"/>
      <c r="D88" s="15"/>
      <c r="E88" s="39"/>
      <c r="F88" s="15"/>
      <c r="G88" s="39"/>
      <c r="H88" s="15"/>
      <c r="I88" s="39"/>
      <c r="J88" s="15"/>
      <c r="K88" s="39"/>
      <c r="L88" s="12">
        <f t="shared" si="25"/>
        <v>90.75999999999999</v>
      </c>
      <c r="M88" s="56">
        <f t="shared" si="24"/>
        <v>0</v>
      </c>
    </row>
    <row r="89" spans="1:13" ht="12.75">
      <c r="A89" s="4" t="s">
        <v>56</v>
      </c>
      <c r="B89" s="12">
        <f>'2016-17'!L89</f>
        <v>209.068</v>
      </c>
      <c r="C89" s="39"/>
      <c r="D89" s="15"/>
      <c r="E89" s="39"/>
      <c r="F89" s="15"/>
      <c r="G89" s="39"/>
      <c r="H89" s="15"/>
      <c r="I89" s="39"/>
      <c r="J89" s="15"/>
      <c r="K89" s="39"/>
      <c r="L89" s="12">
        <f t="shared" si="25"/>
        <v>209.068</v>
      </c>
      <c r="M89" s="56">
        <f t="shared" si="24"/>
        <v>0</v>
      </c>
    </row>
    <row r="90" spans="1:13" ht="12.75">
      <c r="A90" s="4" t="s">
        <v>57</v>
      </c>
      <c r="B90" s="12">
        <f>'2016-17'!L90</f>
        <v>24.669</v>
      </c>
      <c r="C90" s="39"/>
      <c r="D90" s="15"/>
      <c r="E90" s="39"/>
      <c r="F90" s="15"/>
      <c r="G90" s="39"/>
      <c r="H90" s="15"/>
      <c r="I90" s="39"/>
      <c r="J90" s="15"/>
      <c r="K90" s="39"/>
      <c r="L90" s="12">
        <f t="shared" si="25"/>
        <v>24.669</v>
      </c>
      <c r="M90" s="56">
        <f t="shared" si="24"/>
        <v>0</v>
      </c>
    </row>
    <row r="91" spans="1:13" ht="12.75">
      <c r="A91" s="4" t="s">
        <v>58</v>
      </c>
      <c r="B91" s="12">
        <f>'2016-17'!L91</f>
        <v>69.643</v>
      </c>
      <c r="C91" s="39"/>
      <c r="D91" s="15"/>
      <c r="E91" s="39"/>
      <c r="F91" s="15"/>
      <c r="G91" s="39"/>
      <c r="H91" s="15"/>
      <c r="I91" s="39"/>
      <c r="J91" s="15"/>
      <c r="K91" s="39"/>
      <c r="L91" s="12">
        <f t="shared" si="25"/>
        <v>69.643</v>
      </c>
      <c r="M91" s="56">
        <f t="shared" si="24"/>
        <v>0</v>
      </c>
    </row>
    <row r="92" spans="1:13" ht="12.75">
      <c r="A92" s="4" t="s">
        <v>59</v>
      </c>
      <c r="B92" s="12">
        <f>'2016-17'!L92</f>
        <v>145.51999999999998</v>
      </c>
      <c r="C92" s="39"/>
      <c r="D92" s="15"/>
      <c r="E92" s="39"/>
      <c r="F92" s="15"/>
      <c r="G92" s="39"/>
      <c r="H92" s="15"/>
      <c r="I92" s="39"/>
      <c r="J92" s="15"/>
      <c r="K92" s="39"/>
      <c r="L92" s="12">
        <f t="shared" si="25"/>
        <v>145.51999999999998</v>
      </c>
      <c r="M92" s="56">
        <f t="shared" si="24"/>
        <v>0</v>
      </c>
    </row>
    <row r="93" spans="1:13" ht="12.75">
      <c r="A93" s="4" t="s">
        <v>60</v>
      </c>
      <c r="B93" s="12">
        <f>'2016-17'!L93</f>
        <v>1683.5049999999999</v>
      </c>
      <c r="C93" s="39"/>
      <c r="D93" s="15"/>
      <c r="E93" s="39"/>
      <c r="F93" s="15"/>
      <c r="G93" s="39"/>
      <c r="H93" s="15"/>
      <c r="I93" s="39"/>
      <c r="J93" s="15"/>
      <c r="K93" s="39"/>
      <c r="L93" s="12">
        <f t="shared" si="25"/>
        <v>1683.5049999999999</v>
      </c>
      <c r="M93" s="56">
        <f t="shared" si="24"/>
        <v>0</v>
      </c>
    </row>
    <row r="94" spans="1:13" ht="12.75">
      <c r="A94" s="4" t="s">
        <v>90</v>
      </c>
      <c r="B94" s="12">
        <f>'2016-17'!L94</f>
        <v>443.527</v>
      </c>
      <c r="C94" s="39"/>
      <c r="D94" s="15"/>
      <c r="E94" s="39"/>
      <c r="F94" s="15"/>
      <c r="G94" s="39"/>
      <c r="H94" s="15"/>
      <c r="I94" s="39"/>
      <c r="J94" s="15"/>
      <c r="K94" s="39"/>
      <c r="L94" s="12">
        <f t="shared" si="25"/>
        <v>443.527</v>
      </c>
      <c r="M94" s="56">
        <f t="shared" si="24"/>
        <v>0</v>
      </c>
    </row>
    <row r="95" spans="1:13" ht="12.75">
      <c r="A95" s="3" t="s">
        <v>16</v>
      </c>
      <c r="B95" s="12">
        <f>'2016-17'!L95</f>
        <v>2648.6610000000005</v>
      </c>
      <c r="C95" s="39"/>
      <c r="D95" s="15"/>
      <c r="E95" s="39"/>
      <c r="F95" s="15"/>
      <c r="G95" s="39"/>
      <c r="H95" s="15"/>
      <c r="I95" s="39"/>
      <c r="J95" s="15"/>
      <c r="K95" s="39"/>
      <c r="L95" s="12">
        <f t="shared" si="25"/>
        <v>2648.6610000000005</v>
      </c>
      <c r="M95" s="56">
        <f t="shared" si="24"/>
        <v>0</v>
      </c>
    </row>
    <row r="96" spans="1:13" ht="12.75">
      <c r="A96" s="3" t="s">
        <v>99</v>
      </c>
      <c r="B96" s="12">
        <f>'2016-17'!L96</f>
        <v>387.553</v>
      </c>
      <c r="C96" s="39"/>
      <c r="D96" s="15"/>
      <c r="E96" s="39"/>
      <c r="F96" s="15"/>
      <c r="G96" s="39"/>
      <c r="H96" s="15"/>
      <c r="I96" s="39"/>
      <c r="J96" s="15"/>
      <c r="K96" s="39"/>
      <c r="L96" s="12">
        <f t="shared" si="25"/>
        <v>387.553</v>
      </c>
      <c r="M96" s="56">
        <f t="shared" si="24"/>
        <v>0</v>
      </c>
    </row>
    <row r="97" spans="1:13" ht="12.75">
      <c r="A97" s="7"/>
      <c r="B97" s="16"/>
      <c r="C97" s="41"/>
      <c r="D97" s="17"/>
      <c r="E97" s="41"/>
      <c r="F97" s="17"/>
      <c r="G97" s="41"/>
      <c r="H97" s="17"/>
      <c r="I97" s="39"/>
      <c r="J97" s="15"/>
      <c r="K97" s="39"/>
      <c r="L97" s="16"/>
      <c r="M97" s="54"/>
    </row>
    <row r="98" spans="1:13" ht="12.75">
      <c r="A98" s="5" t="s">
        <v>70</v>
      </c>
      <c r="B98" s="9">
        <f aca="true" t="shared" si="26" ref="B98:L98">+SUM(B99:B101)</f>
        <v>340.18600000000004</v>
      </c>
      <c r="C98" s="33">
        <f t="shared" si="26"/>
        <v>0</v>
      </c>
      <c r="D98" s="10">
        <f t="shared" si="26"/>
        <v>0</v>
      </c>
      <c r="E98" s="33">
        <f t="shared" si="26"/>
        <v>0</v>
      </c>
      <c r="F98" s="10">
        <f t="shared" si="26"/>
        <v>0</v>
      </c>
      <c r="G98" s="33">
        <f t="shared" si="26"/>
        <v>0</v>
      </c>
      <c r="H98" s="10">
        <f t="shared" si="26"/>
        <v>0</v>
      </c>
      <c r="I98" s="33">
        <f t="shared" si="26"/>
        <v>0</v>
      </c>
      <c r="J98" s="10">
        <f t="shared" si="26"/>
        <v>0</v>
      </c>
      <c r="K98" s="33">
        <f t="shared" si="26"/>
        <v>0</v>
      </c>
      <c r="L98" s="9">
        <f t="shared" si="26"/>
        <v>340.18600000000004</v>
      </c>
      <c r="M98" s="55">
        <f>+(L98-B98)/B98</f>
        <v>0</v>
      </c>
    </row>
    <row r="99" spans="1:13" ht="12.75">
      <c r="A99" s="20" t="s">
        <v>14</v>
      </c>
      <c r="B99" s="12">
        <f>'2016-17'!L99</f>
        <v>-36.736999999999995</v>
      </c>
      <c r="C99" s="39"/>
      <c r="D99" s="15"/>
      <c r="E99" s="39"/>
      <c r="F99" s="15"/>
      <c r="G99" s="39"/>
      <c r="H99" s="15"/>
      <c r="I99" s="39"/>
      <c r="J99" s="15"/>
      <c r="K99" s="39"/>
      <c r="L99" s="12">
        <f>+B99+SUM(C99:K99)</f>
        <v>-36.736999999999995</v>
      </c>
      <c r="M99" s="56">
        <f>+(L99-B99)/B99</f>
        <v>0</v>
      </c>
    </row>
    <row r="100" spans="1:13" ht="12.75">
      <c r="A100" s="20" t="s">
        <v>52</v>
      </c>
      <c r="B100" s="12">
        <f>'2016-17'!L100</f>
        <v>421.939</v>
      </c>
      <c r="C100" s="39"/>
      <c r="D100" s="15"/>
      <c r="E100" s="39"/>
      <c r="F100" s="15"/>
      <c r="G100" s="39"/>
      <c r="H100" s="15"/>
      <c r="I100" s="39"/>
      <c r="J100" s="15"/>
      <c r="K100" s="39"/>
      <c r="L100" s="12">
        <f>+B100+SUM(C100:K100)</f>
        <v>421.939</v>
      </c>
      <c r="M100" s="56">
        <f>+(L100-B100)/B100</f>
        <v>0</v>
      </c>
    </row>
    <row r="101" spans="1:13" ht="12.75">
      <c r="A101" s="20" t="s">
        <v>15</v>
      </c>
      <c r="B101" s="12">
        <f>'2016-17'!L101</f>
        <v>-45.01599999999999</v>
      </c>
      <c r="C101" s="39"/>
      <c r="D101" s="15"/>
      <c r="E101" s="39"/>
      <c r="F101" s="15"/>
      <c r="G101" s="39"/>
      <c r="H101" s="15"/>
      <c r="I101" s="39"/>
      <c r="J101" s="15"/>
      <c r="K101" s="39"/>
      <c r="L101" s="12">
        <f>+B101+SUM(C101:K101)</f>
        <v>-45.01599999999999</v>
      </c>
      <c r="M101" s="56">
        <f>+(L101-B101)/B101</f>
        <v>0</v>
      </c>
    </row>
    <row r="102" spans="1:13" ht="12.75">
      <c r="A102" s="5"/>
      <c r="B102" s="12"/>
      <c r="C102" s="36"/>
      <c r="D102" s="13"/>
      <c r="E102" s="36"/>
      <c r="F102" s="13"/>
      <c r="G102" s="36"/>
      <c r="H102" s="13"/>
      <c r="I102" s="36"/>
      <c r="J102" s="13"/>
      <c r="K102" s="36"/>
      <c r="L102" s="12"/>
      <c r="M102" s="54"/>
    </row>
    <row r="103" spans="1:13" s="31" customFormat="1" ht="41.25" customHeight="1">
      <c r="A103" s="59" t="s">
        <v>71</v>
      </c>
      <c r="B103" s="64">
        <f>+B5+B25+B63</f>
        <v>16822.814</v>
      </c>
      <c r="C103" s="60">
        <f>+C5+C25+C63</f>
        <v>0</v>
      </c>
      <c r="D103" s="63">
        <f>+D5+D25+D63</f>
        <v>0</v>
      </c>
      <c r="E103" s="60">
        <f aca="true" t="shared" si="27" ref="E103:L103">+E5+E25+E63</f>
        <v>171</v>
      </c>
      <c r="F103" s="63">
        <f t="shared" si="27"/>
        <v>-110</v>
      </c>
      <c r="G103" s="60">
        <f t="shared" si="27"/>
        <v>-810</v>
      </c>
      <c r="H103" s="63">
        <f t="shared" si="27"/>
        <v>-38</v>
      </c>
      <c r="I103" s="60">
        <f t="shared" si="27"/>
        <v>-216</v>
      </c>
      <c r="J103" s="63">
        <f t="shared" si="27"/>
        <v>-9</v>
      </c>
      <c r="K103" s="60">
        <f t="shared" si="27"/>
        <v>0</v>
      </c>
      <c r="L103" s="64">
        <f t="shared" si="27"/>
        <v>15810.813999999998</v>
      </c>
      <c r="M103" s="61">
        <f>+(L103-B103)/B103</f>
        <v>-0.06015640427338732</v>
      </c>
    </row>
    <row r="104" spans="1:12" ht="12.75">
      <c r="A104" s="35"/>
      <c r="B104" s="68"/>
      <c r="C104" s="45"/>
      <c r="D104" s="45"/>
      <c r="E104" s="68"/>
      <c r="F104" s="68"/>
      <c r="G104" s="68"/>
      <c r="H104" s="68"/>
      <c r="I104" s="68"/>
      <c r="J104" s="68"/>
      <c r="K104" s="68"/>
      <c r="L104" s="45"/>
    </row>
    <row r="105" spans="1:13" ht="15.75" hidden="1" outlineLevel="1">
      <c r="A105" s="75" t="s">
        <v>3</v>
      </c>
      <c r="B105" s="38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46"/>
    </row>
    <row r="106" spans="1:13" ht="12.75" hidden="1" outlineLevel="1">
      <c r="A106" s="76" t="s">
        <v>10</v>
      </c>
      <c r="B106" s="38">
        <f>'2016-17'!L106</f>
        <v>-2192.8020000000006</v>
      </c>
      <c r="C106" s="24">
        <v>-534.495</v>
      </c>
      <c r="D106" s="24"/>
      <c r="E106" s="24"/>
      <c r="F106" s="24"/>
      <c r="G106" s="24"/>
      <c r="H106" s="24"/>
      <c r="I106" s="24"/>
      <c r="J106" s="24"/>
      <c r="K106" s="24"/>
      <c r="L106" s="77">
        <f>+B106+SUM(C106:K106)</f>
        <v>-2727.2970000000005</v>
      </c>
      <c r="M106" s="37"/>
    </row>
    <row r="107" spans="1:13" ht="12.75" hidden="1" outlineLevel="1">
      <c r="A107" s="76"/>
      <c r="B107" s="38"/>
      <c r="C107" s="24"/>
      <c r="D107" s="24"/>
      <c r="E107" s="24"/>
      <c r="F107" s="24"/>
      <c r="G107" s="24"/>
      <c r="H107" s="24"/>
      <c r="I107" s="24"/>
      <c r="J107" s="24"/>
      <c r="K107" s="24"/>
      <c r="L107" s="77"/>
      <c r="M107" s="46"/>
    </row>
    <row r="108" spans="1:13" ht="12.75" hidden="1" outlineLevel="1">
      <c r="A108" s="76" t="s">
        <v>4</v>
      </c>
      <c r="B108" s="38">
        <f>'2016-17'!L108</f>
        <v>6166.103999999999</v>
      </c>
      <c r="C108" s="24">
        <v>1088.825</v>
      </c>
      <c r="D108" s="24"/>
      <c r="E108" s="24"/>
      <c r="F108" s="24"/>
      <c r="G108" s="24"/>
      <c r="H108" s="24"/>
      <c r="I108" s="24"/>
      <c r="J108" s="24"/>
      <c r="K108" s="24"/>
      <c r="L108" s="77">
        <f>+B108+SUM(C108:K108)</f>
        <v>7254.928999999999</v>
      </c>
      <c r="M108" s="37"/>
    </row>
    <row r="109" spans="1:13" ht="15" hidden="1" outlineLevel="1">
      <c r="A109" s="78"/>
      <c r="B109" s="38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46"/>
    </row>
    <row r="110" spans="1:13" ht="15.75" hidden="1" outlineLevel="1">
      <c r="A110" s="75" t="s">
        <v>13</v>
      </c>
      <c r="B110" s="32">
        <f aca="true" t="shared" si="28" ref="B110:L110">+SUM(B103:B109)</f>
        <v>20796.115999999998</v>
      </c>
      <c r="C110" s="47">
        <f t="shared" si="28"/>
        <v>554.33</v>
      </c>
      <c r="D110" s="47">
        <f t="shared" si="28"/>
        <v>0</v>
      </c>
      <c r="E110" s="47">
        <f t="shared" si="28"/>
        <v>171</v>
      </c>
      <c r="F110" s="47">
        <f t="shared" si="28"/>
        <v>-110</v>
      </c>
      <c r="G110" s="47">
        <f t="shared" si="28"/>
        <v>-810</v>
      </c>
      <c r="H110" s="47">
        <f t="shared" si="28"/>
        <v>-38</v>
      </c>
      <c r="I110" s="47">
        <f t="shared" si="28"/>
        <v>-216</v>
      </c>
      <c r="J110" s="47">
        <f t="shared" si="28"/>
        <v>-9</v>
      </c>
      <c r="K110" s="47">
        <f t="shared" si="28"/>
        <v>0</v>
      </c>
      <c r="L110" s="47">
        <f t="shared" si="28"/>
        <v>20338.445999999996</v>
      </c>
      <c r="M110" s="37"/>
    </row>
    <row r="111" spans="1:13" ht="15" hidden="1" outlineLevel="1">
      <c r="A111" s="78"/>
      <c r="B111" s="38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46"/>
    </row>
    <row r="112" spans="1:13" ht="12.75" hidden="1" outlineLevel="1">
      <c r="A112" s="79" t="s">
        <v>5</v>
      </c>
      <c r="B112" s="38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46"/>
    </row>
    <row r="113" spans="1:13" ht="25.5" hidden="1" outlineLevel="1">
      <c r="A113" s="76" t="s">
        <v>6</v>
      </c>
      <c r="B113" s="38">
        <f>'2016-17'!L113</f>
        <v>0</v>
      </c>
      <c r="C113" s="24"/>
      <c r="D113" s="24"/>
      <c r="E113" s="24"/>
      <c r="F113" s="24"/>
      <c r="G113" s="24"/>
      <c r="H113" s="24"/>
      <c r="I113" s="24"/>
      <c r="J113" s="24"/>
      <c r="K113" s="24"/>
      <c r="L113" s="77">
        <f>+B113+SUM(C113:K113)</f>
        <v>0</v>
      </c>
      <c r="M113" s="37"/>
    </row>
    <row r="114" spans="1:13" ht="15" hidden="1" outlineLevel="1">
      <c r="A114" s="78"/>
      <c r="B114" s="38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46"/>
    </row>
    <row r="115" spans="1:13" ht="15.75" hidden="1" outlineLevel="1">
      <c r="A115" s="75" t="s">
        <v>7</v>
      </c>
      <c r="B115" s="32">
        <f>+SUM(B110,B113)</f>
        <v>20796.115999999998</v>
      </c>
      <c r="C115" s="47">
        <f>+SUM(C110,C113)</f>
        <v>554.33</v>
      </c>
      <c r="D115" s="47">
        <f aca="true" t="shared" si="29" ref="D115:L115">+SUM(D110,D113)</f>
        <v>0</v>
      </c>
      <c r="E115" s="47">
        <f t="shared" si="29"/>
        <v>171</v>
      </c>
      <c r="F115" s="47">
        <f t="shared" si="29"/>
        <v>-110</v>
      </c>
      <c r="G115" s="47">
        <f t="shared" si="29"/>
        <v>-810</v>
      </c>
      <c r="H115" s="47">
        <f t="shared" si="29"/>
        <v>-38</v>
      </c>
      <c r="I115" s="47">
        <f t="shared" si="29"/>
        <v>-216</v>
      </c>
      <c r="J115" s="47">
        <f t="shared" si="29"/>
        <v>-9</v>
      </c>
      <c r="K115" s="47">
        <f t="shared" si="29"/>
        <v>0</v>
      </c>
      <c r="L115" s="47">
        <f t="shared" si="29"/>
        <v>20338.445999999996</v>
      </c>
      <c r="M115" s="48"/>
    </row>
    <row r="116" spans="1:13" ht="15" hidden="1" outlineLevel="1">
      <c r="A116" s="78"/>
      <c r="B116" s="38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46"/>
    </row>
    <row r="117" spans="1:13" ht="15" hidden="1" outlineLevel="1">
      <c r="A117" s="78"/>
      <c r="B117" s="38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46"/>
    </row>
    <row r="118" spans="1:13" ht="15.75" hidden="1" outlineLevel="1">
      <c r="A118" s="75" t="s">
        <v>8</v>
      </c>
      <c r="B118" s="32">
        <f>+SUM(B119:B123)</f>
        <v>-20796.549</v>
      </c>
      <c r="C118" s="47">
        <f>+SUM(C119:C123)</f>
        <v>457.67</v>
      </c>
      <c r="D118" s="47">
        <f aca="true" t="shared" si="30" ref="D118:L118">+SUM(D119:D123)</f>
        <v>0</v>
      </c>
      <c r="E118" s="47">
        <f t="shared" si="30"/>
        <v>0</v>
      </c>
      <c r="F118" s="47">
        <f t="shared" si="30"/>
        <v>0</v>
      </c>
      <c r="G118" s="47">
        <f t="shared" si="30"/>
        <v>0</v>
      </c>
      <c r="H118" s="47">
        <f t="shared" si="30"/>
        <v>0</v>
      </c>
      <c r="I118" s="47">
        <f t="shared" si="30"/>
        <v>0</v>
      </c>
      <c r="J118" s="47">
        <f t="shared" si="30"/>
        <v>0</v>
      </c>
      <c r="K118" s="47">
        <f t="shared" si="30"/>
        <v>0</v>
      </c>
      <c r="L118" s="47">
        <f t="shared" si="30"/>
        <v>-20338.879</v>
      </c>
      <c r="M118" s="37"/>
    </row>
    <row r="119" spans="1:13" ht="12.75" hidden="1" outlineLevel="1">
      <c r="A119" s="76" t="s">
        <v>108</v>
      </c>
      <c r="B119" s="38">
        <f>'2016-17'!L119</f>
        <v>-3682</v>
      </c>
      <c r="C119" s="24">
        <v>742</v>
      </c>
      <c r="D119" s="24"/>
      <c r="E119" s="24"/>
      <c r="F119" s="24"/>
      <c r="G119" s="24"/>
      <c r="H119" s="24"/>
      <c r="I119" s="24"/>
      <c r="J119" s="24"/>
      <c r="K119" s="24"/>
      <c r="L119" s="77">
        <f>+B119+SUM(C119:K119)</f>
        <v>-2940</v>
      </c>
      <c r="M119" s="37"/>
    </row>
    <row r="120" spans="1:13" ht="12.75" hidden="1" outlineLevel="1">
      <c r="A120" s="76" t="s">
        <v>109</v>
      </c>
      <c r="B120" s="38">
        <f>'2016-17'!L120</f>
        <v>-5405.264</v>
      </c>
      <c r="C120" s="24">
        <v>-108.106</v>
      </c>
      <c r="D120" s="24"/>
      <c r="E120" s="24"/>
      <c r="F120" s="24"/>
      <c r="G120" s="24"/>
      <c r="H120" s="24"/>
      <c r="I120" s="24"/>
      <c r="J120" s="24"/>
      <c r="K120" s="24"/>
      <c r="L120" s="77">
        <f>+B120+SUM(C120:K120)</f>
        <v>-5513.37</v>
      </c>
      <c r="M120" s="37"/>
    </row>
    <row r="121" spans="1:13" ht="12.75" hidden="1" outlineLevel="1">
      <c r="A121" s="80" t="s">
        <v>110</v>
      </c>
      <c r="B121" s="38">
        <f>'2016-17'!L121</f>
        <v>-11863.457</v>
      </c>
      <c r="C121" s="24">
        <v>-176.224</v>
      </c>
      <c r="D121" s="24"/>
      <c r="E121" s="24"/>
      <c r="F121" s="24"/>
      <c r="G121" s="24"/>
      <c r="H121" s="24"/>
      <c r="I121" s="24"/>
      <c r="J121" s="24"/>
      <c r="K121" s="24"/>
      <c r="L121" s="77">
        <f>+B121+SUM(C121:K121)</f>
        <v>-12039.681</v>
      </c>
      <c r="M121" s="37"/>
    </row>
    <row r="122" spans="1:13" ht="12.75" hidden="1" outlineLevel="1">
      <c r="A122" s="80" t="s">
        <v>111</v>
      </c>
      <c r="B122" s="38">
        <f>'2016-17'!L122</f>
        <v>154.172</v>
      </c>
      <c r="C122" s="24"/>
      <c r="D122" s="24"/>
      <c r="E122" s="24"/>
      <c r="F122" s="24"/>
      <c r="G122" s="24"/>
      <c r="H122" s="24"/>
      <c r="I122" s="24"/>
      <c r="J122" s="24"/>
      <c r="K122" s="24"/>
      <c r="L122" s="77">
        <f>+B122+SUM(C122:K122)</f>
        <v>154.172</v>
      </c>
      <c r="M122" s="37"/>
    </row>
    <row r="123" spans="1:13" ht="12.75" hidden="1" outlineLevel="1">
      <c r="A123" s="80" t="s">
        <v>112</v>
      </c>
      <c r="B123" s="38">
        <f>'2016-17'!L123</f>
        <v>0</v>
      </c>
      <c r="C123" s="24"/>
      <c r="D123" s="24"/>
      <c r="E123" s="24"/>
      <c r="F123" s="24"/>
      <c r="G123" s="24"/>
      <c r="H123" s="24"/>
      <c r="I123" s="24"/>
      <c r="J123" s="24"/>
      <c r="K123" s="24"/>
      <c r="L123" s="77">
        <f>+B123+SUM(C123:K123)</f>
        <v>0</v>
      </c>
      <c r="M123" s="37"/>
    </row>
    <row r="124" spans="1:13" ht="12.75" hidden="1" outlineLevel="1">
      <c r="A124" s="76"/>
      <c r="B124" s="38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46"/>
    </row>
    <row r="125" spans="1:13" ht="12.75" hidden="1" outlineLevel="1">
      <c r="A125" s="76" t="s">
        <v>9</v>
      </c>
      <c r="B125" s="38">
        <f aca="true" t="shared" si="31" ref="B125:L125">+SUM(B118,B115)</f>
        <v>-0.4330000000009022</v>
      </c>
      <c r="C125" s="24">
        <f t="shared" si="31"/>
        <v>1012</v>
      </c>
      <c r="D125" s="24">
        <f t="shared" si="31"/>
        <v>0</v>
      </c>
      <c r="E125" s="24">
        <f t="shared" si="31"/>
        <v>171</v>
      </c>
      <c r="F125" s="24">
        <f t="shared" si="31"/>
        <v>-110</v>
      </c>
      <c r="G125" s="24">
        <f t="shared" si="31"/>
        <v>-810</v>
      </c>
      <c r="H125" s="24">
        <f t="shared" si="31"/>
        <v>-38</v>
      </c>
      <c r="I125" s="24">
        <f t="shared" si="31"/>
        <v>-216</v>
      </c>
      <c r="J125" s="24">
        <f t="shared" si="31"/>
        <v>-9</v>
      </c>
      <c r="K125" s="24">
        <f t="shared" si="31"/>
        <v>0</v>
      </c>
      <c r="L125" s="24">
        <f t="shared" si="31"/>
        <v>-0.4330000000045402</v>
      </c>
      <c r="M125" s="37"/>
    </row>
    <row r="126" ht="12.75" collapsed="1"/>
    <row r="127" ht="12.75">
      <c r="L127" s="41"/>
    </row>
    <row r="129" ht="12.75">
      <c r="L129" s="41"/>
    </row>
  </sheetData>
  <sheetProtection/>
  <autoFilter ref="A4:M104"/>
  <mergeCells count="1">
    <mergeCell ref="A1:M1"/>
  </mergeCells>
  <conditionalFormatting sqref="M102 M97 M85 M71 M62 M64 M54 M26 M19 M3:M4 M6 M13 M24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6299212598425197" header="0.31496062992125984" footer="0.1968503937007874"/>
  <pageSetup firstPageNumber="10" useFirstPageNumber="1" fitToHeight="0" fitToWidth="1" horizontalDpi="600" verticalDpi="600" orientation="landscape" paperSize="9" scale="74" r:id="rId1"/>
  <headerFooter alignWithMargins="0">
    <oddHeader>&amp;R&amp;16Appendix 2</oddHeader>
    <oddFooter>&amp;C&amp;P</oddFooter>
  </headerFooter>
  <rowBreaks count="1" manualBreakCount="1">
    <brk id="5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Oxfordshire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2 - Detail of proposed budget by Service 14-15</dc:title>
  <dc:subject/>
  <dc:creator>Oxford City Council</dc:creator>
  <cp:keywords>Council meetings;Government, politics and public administration; Local government; Decision making; Council meetings;</cp:keywords>
  <dc:description/>
  <cp:lastModifiedBy>Lois.Stock</cp:lastModifiedBy>
  <cp:lastPrinted>2014-02-04T13:14:27Z</cp:lastPrinted>
  <dcterms:created xsi:type="dcterms:W3CDTF">2010-08-23T10:49:01Z</dcterms:created>
  <dcterms:modified xsi:type="dcterms:W3CDTF">2014-02-04T17:12:51Z</dcterms:modified>
  <cp:category/>
  <cp:version/>
  <cp:contentType/>
  <cp:contentStatus/>
</cp:coreProperties>
</file>